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b1caecb027230b/Dokumenty/JČU 4 semestr/Diplomová práce/"/>
    </mc:Choice>
  </mc:AlternateContent>
  <xr:revisionPtr revIDLastSave="2931" documentId="8_{F947A1AF-95CB-41B9-83B0-69FB903F96BB}" xr6:coauthVersionLast="47" xr6:coauthVersionMax="47" xr10:uidLastSave="{69FA265E-BFE0-4E88-AC62-ECD4BABD7AC8}"/>
  <bookViews>
    <workbookView xWindow="-108" yWindow="-108" windowWidth="23256" windowHeight="12576" firstSheet="7" activeTab="9" xr2:uid="{D6A58F92-9593-4939-8B70-E2D0F55F46D0}"/>
  </bookViews>
  <sheets>
    <sheet name="Bodovací metoda-stanovení vah" sheetId="1" r:id="rId1"/>
    <sheet name="Parametry hypotečních úvěrů" sheetId="12" r:id="rId2"/>
    <sheet name="Výběr bank" sheetId="4" state="hidden" r:id="rId3"/>
    <sheet name="Bodovací metoda-výpočet" sheetId="3" r:id="rId4"/>
    <sheet name="Metoda rozkladu vah-váhy" sheetId="5" r:id="rId5"/>
    <sheet name="Metoda rozkladu vah-výpočet" sheetId="6" r:id="rId6"/>
    <sheet name="Respondent žena-metoda bodovací" sheetId="8" r:id="rId7"/>
    <sheet name=" Respondent žena-rozklad vah" sheetId="7" r:id="rId8"/>
    <sheet name="Respondent muž-metoda bodovací" sheetId="9" r:id="rId9"/>
    <sheet name="Respondent muž-rozklad vah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2" l="1"/>
  <c r="D17" i="12"/>
  <c r="C17" i="12"/>
  <c r="B17" i="12"/>
  <c r="G16" i="12"/>
  <c r="D16" i="12"/>
  <c r="C16" i="12"/>
  <c r="B16" i="12"/>
  <c r="G34" i="9"/>
  <c r="D34" i="9"/>
  <c r="C34" i="9"/>
  <c r="B34" i="9"/>
  <c r="G33" i="9"/>
  <c r="D33" i="9"/>
  <c r="C33" i="9"/>
  <c r="B33" i="9"/>
  <c r="D20" i="9"/>
  <c r="L32" i="9" s="1"/>
  <c r="B36" i="11"/>
  <c r="M20" i="11"/>
  <c r="L20" i="11"/>
  <c r="K20" i="11"/>
  <c r="J20" i="11"/>
  <c r="I20" i="11"/>
  <c r="H20" i="11"/>
  <c r="G20" i="11"/>
  <c r="F20" i="11"/>
  <c r="E20" i="11"/>
  <c r="D20" i="11"/>
  <c r="B37" i="11" s="1"/>
  <c r="C20" i="11"/>
  <c r="B35" i="11" s="1"/>
  <c r="B20" i="11"/>
  <c r="B33" i="11" s="1"/>
  <c r="D10" i="11"/>
  <c r="D9" i="11"/>
  <c r="D17" i="11"/>
  <c r="D16" i="11"/>
  <c r="D15" i="11"/>
  <c r="D14" i="11"/>
  <c r="D13" i="11"/>
  <c r="D12" i="11"/>
  <c r="D11" i="11"/>
  <c r="D8" i="11"/>
  <c r="D7" i="11"/>
  <c r="D6" i="11"/>
  <c r="D5" i="11"/>
  <c r="D4" i="11"/>
  <c r="N3" i="7"/>
  <c r="B31" i="7"/>
  <c r="C36" i="7" s="1"/>
  <c r="C34" i="3"/>
  <c r="C32" i="3"/>
  <c r="O34" i="8"/>
  <c r="G36" i="8"/>
  <c r="D36" i="8"/>
  <c r="C36" i="8"/>
  <c r="B36" i="8"/>
  <c r="G35" i="8"/>
  <c r="D35" i="8"/>
  <c r="C35" i="8"/>
  <c r="B35" i="8"/>
  <c r="C21" i="8"/>
  <c r="D20" i="8" s="1"/>
  <c r="B37" i="7"/>
  <c r="B36" i="7"/>
  <c r="B35" i="7"/>
  <c r="B34" i="7"/>
  <c r="B33" i="7"/>
  <c r="B32" i="7"/>
  <c r="G32" i="3"/>
  <c r="N16" i="7"/>
  <c r="N15" i="7"/>
  <c r="N14" i="7"/>
  <c r="N13" i="7"/>
  <c r="N12" i="7"/>
  <c r="N11" i="7"/>
  <c r="N10" i="7"/>
  <c r="N9" i="7"/>
  <c r="N8" i="7"/>
  <c r="N7" i="7"/>
  <c r="N6" i="7"/>
  <c r="N5" i="7"/>
  <c r="N4" i="7"/>
  <c r="D15" i="6"/>
  <c r="D18" i="6"/>
  <c r="D17" i="6"/>
  <c r="D5" i="6"/>
  <c r="G38" i="3"/>
  <c r="G37" i="3"/>
  <c r="G36" i="3"/>
  <c r="G35" i="3"/>
  <c r="G34" i="3"/>
  <c r="G33" i="3"/>
  <c r="D16" i="6"/>
  <c r="D14" i="6"/>
  <c r="D13" i="6"/>
  <c r="D12" i="6"/>
  <c r="D11" i="6"/>
  <c r="D10" i="6"/>
  <c r="D9" i="6"/>
  <c r="D8" i="6"/>
  <c r="D7" i="6"/>
  <c r="D6" i="6"/>
  <c r="C17" i="3"/>
  <c r="C38" i="3"/>
  <c r="C33" i="3"/>
  <c r="C37" i="3"/>
  <c r="C36" i="3"/>
  <c r="C35" i="3"/>
  <c r="H18" i="3"/>
  <c r="H17" i="3"/>
  <c r="E18" i="3"/>
  <c r="E17" i="3"/>
  <c r="D18" i="3"/>
  <c r="D17" i="3"/>
  <c r="C18" i="3"/>
  <c r="D20" i="1"/>
  <c r="E17" i="1" s="1"/>
  <c r="C35" i="11" l="1"/>
  <c r="B34" i="11"/>
  <c r="B38" i="11"/>
  <c r="B39" i="11"/>
  <c r="C39" i="11" s="1"/>
  <c r="E18" i="9"/>
  <c r="E6" i="9"/>
  <c r="E10" i="9"/>
  <c r="E14" i="9"/>
  <c r="D17" i="8"/>
  <c r="D8" i="8"/>
  <c r="F34" i="8"/>
  <c r="M34" i="8"/>
  <c r="I34" i="8"/>
  <c r="H32" i="3"/>
  <c r="E14" i="1"/>
  <c r="E18" i="1"/>
  <c r="E19" i="1"/>
  <c r="E15" i="1"/>
  <c r="E16" i="1"/>
  <c r="E7" i="9"/>
  <c r="E11" i="9"/>
  <c r="E15" i="9"/>
  <c r="E19" i="9"/>
  <c r="E32" i="9"/>
  <c r="I32" i="9"/>
  <c r="M32" i="9"/>
  <c r="E8" i="9"/>
  <c r="E12" i="9"/>
  <c r="E16" i="9"/>
  <c r="B32" i="9"/>
  <c r="F32" i="9"/>
  <c r="J32" i="9"/>
  <c r="N32" i="9"/>
  <c r="E9" i="9"/>
  <c r="E13" i="9"/>
  <c r="E17" i="9"/>
  <c r="C32" i="9"/>
  <c r="G32" i="9"/>
  <c r="K32" i="9"/>
  <c r="O32" i="9"/>
  <c r="D32" i="9"/>
  <c r="H32" i="9"/>
  <c r="C33" i="7"/>
  <c r="C37" i="7"/>
  <c r="C34" i="7"/>
  <c r="C31" i="7"/>
  <c r="C35" i="7"/>
  <c r="C32" i="7"/>
  <c r="C34" i="8"/>
  <c r="J34" i="8"/>
  <c r="D13" i="8"/>
  <c r="E34" i="8"/>
  <c r="D18" i="8"/>
  <c r="D7" i="8"/>
  <c r="D34" i="8"/>
  <c r="G34" i="8"/>
  <c r="K34" i="8"/>
  <c r="N34" i="8"/>
  <c r="D9" i="8"/>
  <c r="B34" i="8"/>
  <c r="D11" i="8"/>
  <c r="H34" i="8"/>
  <c r="L34" i="8"/>
  <c r="D32" i="3"/>
  <c r="D35" i="3"/>
  <c r="D36" i="3"/>
  <c r="D10" i="8"/>
  <c r="D14" i="8"/>
  <c r="D15" i="8"/>
  <c r="D19" i="8"/>
  <c r="D12" i="8"/>
  <c r="D16" i="8"/>
  <c r="D33" i="3"/>
  <c r="D37" i="3"/>
  <c r="D34" i="3"/>
  <c r="D38" i="3"/>
  <c r="H36" i="3"/>
  <c r="H33" i="3"/>
  <c r="H34" i="3"/>
  <c r="H35" i="3"/>
  <c r="H37" i="3"/>
  <c r="H38" i="3"/>
  <c r="E12" i="1"/>
  <c r="C36" i="11" l="1"/>
  <c r="C38" i="11"/>
  <c r="C33" i="11"/>
  <c r="C34" i="11"/>
  <c r="C37" i="11"/>
  <c r="B53" i="9"/>
  <c r="B49" i="9"/>
  <c r="B52" i="9"/>
  <c r="B48" i="9"/>
  <c r="B51" i="9"/>
  <c r="B47" i="9"/>
  <c r="B50" i="9"/>
  <c r="B53" i="8"/>
  <c r="B56" i="8"/>
  <c r="B52" i="8"/>
  <c r="B55" i="8"/>
  <c r="B51" i="8"/>
  <c r="B50" i="8"/>
  <c r="B54" i="8"/>
  <c r="E9" i="1"/>
  <c r="E11" i="1"/>
  <c r="E13" i="1"/>
  <c r="E6" i="1"/>
  <c r="E10" i="1"/>
  <c r="E7" i="1"/>
  <c r="E8" i="1"/>
  <c r="C51" i="9" l="1"/>
  <c r="C48" i="9"/>
  <c r="C50" i="9"/>
  <c r="C52" i="9"/>
  <c r="C47" i="9"/>
  <c r="C49" i="9"/>
  <c r="C53" i="9"/>
  <c r="C54" i="8"/>
  <c r="C52" i="8"/>
  <c r="C53" i="8"/>
  <c r="C50" i="8"/>
  <c r="C56" i="8"/>
  <c r="C51" i="8"/>
  <c r="C55" i="8"/>
  <c r="E20" i="1"/>
</calcChain>
</file>

<file path=xl/sharedStrings.xml><?xml version="1.0" encoding="utf-8"?>
<sst xmlns="http://schemas.openxmlformats.org/spreadsheetml/2006/main" count="703" uniqueCount="142">
  <si>
    <t>Komerční banka</t>
  </si>
  <si>
    <t>Moneta Money Bank</t>
  </si>
  <si>
    <t>Česká spořitelna</t>
  </si>
  <si>
    <t>ČSOB</t>
  </si>
  <si>
    <t>EQUA bank</t>
  </si>
  <si>
    <t>Kritérium</t>
  </si>
  <si>
    <t>Přeplacení dlužné částky</t>
  </si>
  <si>
    <t>Měsíční splátka</t>
  </si>
  <si>
    <t>Výše úrokové sazby</t>
  </si>
  <si>
    <t>i</t>
  </si>
  <si>
    <t>bi</t>
  </si>
  <si>
    <t>vi (stanocení vah)</t>
  </si>
  <si>
    <t>Součet</t>
  </si>
  <si>
    <t>Air bank</t>
  </si>
  <si>
    <t>UniCredit bank</t>
  </si>
  <si>
    <t>úroková sazba (%)</t>
  </si>
  <si>
    <t>přeplacení dlužné částky (Kč)</t>
  </si>
  <si>
    <t>měsíční splátka (Kč)</t>
  </si>
  <si>
    <t>MIN</t>
  </si>
  <si>
    <t>MAX</t>
  </si>
  <si>
    <t>Váhy</t>
  </si>
  <si>
    <t>MIN/MAX</t>
  </si>
  <si>
    <t>Počet bodů</t>
  </si>
  <si>
    <t>Důvěryhodnost banky</t>
  </si>
  <si>
    <t>Poplatek za předčasné splacení</t>
  </si>
  <si>
    <t>LTV</t>
  </si>
  <si>
    <t xml:space="preserve">Poskytutá úroková sazba v případě refinancování </t>
  </si>
  <si>
    <t>Možnost odkladu splátek</t>
  </si>
  <si>
    <t>pořadí</t>
  </si>
  <si>
    <t>1.-2.</t>
  </si>
  <si>
    <t>3.</t>
  </si>
  <si>
    <t>LTV (%)</t>
  </si>
  <si>
    <t>UniCredit Bank</t>
  </si>
  <si>
    <t>stříbrná</t>
  </si>
  <si>
    <t>ANO</t>
  </si>
  <si>
    <t>NE</t>
  </si>
  <si>
    <r>
      <t xml:space="preserve">3,99 </t>
    </r>
    <r>
      <rPr>
        <sz val="11"/>
        <color theme="1"/>
        <rFont val="Calibri"/>
        <family val="2"/>
        <charset val="238"/>
      </rPr>
      <t>→ 3,29</t>
    </r>
  </si>
  <si>
    <t>4,09 → 4,09</t>
  </si>
  <si>
    <t>3 po sobě jdoucí měsíční splátky</t>
  </si>
  <si>
    <t>odkad na 6 měsíců</t>
  </si>
  <si>
    <t>MINIMUM bodů</t>
  </si>
  <si>
    <t>MAXIMUM bodů</t>
  </si>
  <si>
    <t>3,55  → 3,55</t>
  </si>
  <si>
    <t>12 měsíců</t>
  </si>
  <si>
    <t>Přeplacení dlužné splátky (Kč)</t>
  </si>
  <si>
    <t>Měsíční splátka (Kč)</t>
  </si>
  <si>
    <t>Výše úrokové sazby (%)</t>
  </si>
  <si>
    <t>Důvěryhodnost banky (přiřazená medaile)</t>
  </si>
  <si>
    <t>Poplatek za předčasné splacení (ANO/NE)</t>
  </si>
  <si>
    <t>Poskytnutá sazba v případě refinancování (%)</t>
  </si>
  <si>
    <t>Možnost odkladu splátek (měsíce)</t>
  </si>
  <si>
    <t>Vážený součet bodů</t>
  </si>
  <si>
    <t>Unicredit Bank</t>
  </si>
  <si>
    <t>Body</t>
  </si>
  <si>
    <t>Pořadí</t>
  </si>
  <si>
    <t>Výběr 3 bank na základě toho, kolik přeplatím-hledám pro mě tu nejvýhodnější nabídku</t>
  </si>
  <si>
    <t>Air Bank</t>
  </si>
  <si>
    <t>Raiffeisen Bank</t>
  </si>
  <si>
    <t>Egua bank</t>
  </si>
  <si>
    <t>3,74  →3,54</t>
  </si>
  <si>
    <t>3,99  →3,99</t>
  </si>
  <si>
    <t>4,49  →4,49</t>
  </si>
  <si>
    <t>4,19  →4,19</t>
  </si>
  <si>
    <t>nedůvěryhodná</t>
  </si>
  <si>
    <t>bronzová</t>
  </si>
  <si>
    <t>2 po sobě jdoucí měsíční splátky</t>
  </si>
  <si>
    <t>1-6měsíců</t>
  </si>
  <si>
    <t>odklad 6 nebo 12 měsíčů, případě tříměsíční odklad</t>
  </si>
  <si>
    <t>1-maximální doba není stanovena</t>
  </si>
  <si>
    <t>Equa Bank</t>
  </si>
  <si>
    <t>ZDARMA</t>
  </si>
  <si>
    <t>poplatek za vedení hypotéky (Kč)</t>
  </si>
  <si>
    <t>poplatek za sjednání hypotečního úvěru (Kč)</t>
  </si>
  <si>
    <t>dostupnost pobočky (Strakonice a okolí)</t>
  </si>
  <si>
    <t>Strakonice</t>
  </si>
  <si>
    <t>Praha</t>
  </si>
  <si>
    <t>České Budějovice</t>
  </si>
  <si>
    <t>otevírací doba poboček (pondělí)</t>
  </si>
  <si>
    <t>9–12, 13–18</t>
  </si>
  <si>
    <t>9–11:30, 12:30–17</t>
  </si>
  <si>
    <t>8:15–12:45, 13:30–16:30</t>
  </si>
  <si>
    <t>9:00 do 21:00</t>
  </si>
  <si>
    <t>8:30–18</t>
  </si>
  <si>
    <t>1750-3000</t>
  </si>
  <si>
    <t>1900-9900</t>
  </si>
  <si>
    <t>neposkytuje</t>
  </si>
  <si>
    <t>maximalní doba fixace úrokové sazby (roky)</t>
  </si>
  <si>
    <t>Poplatek za sjednání hypotečního úvěru</t>
  </si>
  <si>
    <t>Poplatek za vedení hypotéky</t>
  </si>
  <si>
    <t>Dostupnost pobočky</t>
  </si>
  <si>
    <t>Otevírací doba poboček</t>
  </si>
  <si>
    <t>Odhad ceny nemovitosti</t>
  </si>
  <si>
    <t>Maximalní doba fixace úrokové sazby</t>
  </si>
  <si>
    <t>4.-6.</t>
  </si>
  <si>
    <t>7.-10.</t>
  </si>
  <si>
    <t>12.-13.</t>
  </si>
  <si>
    <t>14.</t>
  </si>
  <si>
    <t>1 měsíc</t>
  </si>
  <si>
    <t>Egua Bank</t>
  </si>
  <si>
    <t>odhad ceny nemovitosti  (Kč)</t>
  </si>
  <si>
    <t>důvěryhodnost banky</t>
  </si>
  <si>
    <t>dostupnost pobočky</t>
  </si>
  <si>
    <t>otevírací doba pobočky</t>
  </si>
  <si>
    <t>přeplacení dlužné částky</t>
  </si>
  <si>
    <t>měsíční splátky</t>
  </si>
  <si>
    <t>výše úrokové sazby</t>
  </si>
  <si>
    <t>poplatek za předčasné splacení</t>
  </si>
  <si>
    <t>možnost odkladu splátel</t>
  </si>
  <si>
    <t>úroková sazby při refinancování</t>
  </si>
  <si>
    <t>poplatek za sjednání hypotéky</t>
  </si>
  <si>
    <t>poplatek za vedení hypotéky</t>
  </si>
  <si>
    <t>maximalní doba fixace úrokové sazby</t>
  </si>
  <si>
    <t>poplatek za odhad nemovitosti</t>
  </si>
  <si>
    <r>
      <t xml:space="preserve">Spolehlivost </t>
    </r>
    <r>
      <rPr>
        <b/>
        <sz val="12"/>
        <color theme="1"/>
        <rFont val="Calibri"/>
        <family val="2"/>
        <charset val="238"/>
        <scheme val="minor"/>
      </rPr>
      <t>(0,2)</t>
    </r>
  </si>
  <si>
    <r>
      <t xml:space="preserve">Ukazatele komfortu </t>
    </r>
    <r>
      <rPr>
        <b/>
        <sz val="12"/>
        <color theme="1"/>
        <rFont val="Calibri"/>
        <family val="2"/>
        <charset val="238"/>
        <scheme val="minor"/>
      </rPr>
      <t>(0,2)</t>
    </r>
  </si>
  <si>
    <r>
      <t xml:space="preserve">Finanční ukazatele </t>
    </r>
    <r>
      <rPr>
        <b/>
        <sz val="12"/>
        <color theme="1"/>
        <rFont val="Calibri"/>
        <family val="2"/>
        <charset val="238"/>
        <scheme val="minor"/>
      </rPr>
      <t>(0,6)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</si>
  <si>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dlouhodobé </t>
    </r>
    <r>
      <rPr>
        <b/>
        <sz val="12"/>
        <color theme="1"/>
        <rFont val="Calibri"/>
        <family val="2"/>
        <charset val="238"/>
        <scheme val="minor"/>
      </rPr>
      <t>(0,3)</t>
    </r>
  </si>
  <si>
    <r>
      <t xml:space="preserve">krátkodobé </t>
    </r>
    <r>
      <rPr>
        <b/>
        <sz val="11"/>
        <color theme="1"/>
        <rFont val="Calibri"/>
        <family val="2"/>
        <charset val="238"/>
        <scheme val="minor"/>
      </rPr>
      <t>(0,3)</t>
    </r>
  </si>
  <si>
    <t>výsledné váhy kritérií</t>
  </si>
  <si>
    <t>možnost odkladu splátek</t>
  </si>
  <si>
    <t>úroková sazba při refinancování</t>
  </si>
  <si>
    <t>maximální doba fixace úrokové sazby</t>
  </si>
  <si>
    <t>rozklad kritérií váha</t>
  </si>
  <si>
    <t>váhy</t>
  </si>
  <si>
    <t>Metoda rokladu vah</t>
  </si>
  <si>
    <t>i=pořadí</t>
  </si>
  <si>
    <t>Vysvětlivky:</t>
  </si>
  <si>
    <t>bi=počet přiřazených bodů</t>
  </si>
  <si>
    <t>vi=vypočtená váha</t>
  </si>
  <si>
    <t>výše úvěru: 3 000 000 Kč</t>
  </si>
  <si>
    <t>délka splácení: 30 let</t>
  </si>
  <si>
    <t>Bodovací metoda srovnání hypotečních úvěrů-moje prefence uvedené v DP</t>
  </si>
  <si>
    <t>Parametry hypotečních úvěrů jednotlivých bank</t>
  </si>
  <si>
    <t>Výpočet</t>
  </si>
  <si>
    <t>Metoda rozkladu vah-moje prefence uvedené v DP</t>
  </si>
  <si>
    <t>Bodovací metoda zpracovaná na základě preferencí respondenta žena</t>
  </si>
  <si>
    <t>respondent žena</t>
  </si>
  <si>
    <t>Bodovací metoda zpracovaná na základě preferencí respondenta muž</t>
  </si>
  <si>
    <t>Bodovací metoda zpracovaná na základě mých preferencí uvedených v DP</t>
  </si>
  <si>
    <t>Metoda rozkladu vah-výpočet na základě mých preferencí</t>
  </si>
  <si>
    <t>Metoda rozkladu vah-výpočet na základě preferencí respondent žena</t>
  </si>
  <si>
    <t>Metoda rozkladu vah-výpočet na základě respondenta muž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</si>
</sst>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0" fontId="1" fillId="4" borderId="3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4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4" fontId="1" fillId="4" borderId="0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/>
    <xf numFmtId="0" fontId="1" fillId="4" borderId="0" xfId="0" applyFont="1" applyFill="1" applyBorder="1" applyAlignment="1"/>
    <xf numFmtId="0" fontId="2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875F-9556-43CF-B083-17DDBD620831}">
  <dimension ref="A2:I25"/>
  <sheetViews>
    <sheetView topLeftCell="B1" workbookViewId="0">
      <selection activeCell="C27" sqref="C27"/>
    </sheetView>
  </sheetViews>
  <sheetFormatPr defaultRowHeight="14.4" x14ac:dyDescent="0.3"/>
  <cols>
    <col min="1" max="1" width="49.5546875" customWidth="1"/>
    <col min="2" max="2" width="43.109375" customWidth="1"/>
    <col min="3" max="3" width="36.44140625" customWidth="1"/>
    <col min="4" max="4" width="8.77734375" customWidth="1"/>
    <col min="5" max="5" width="47.109375" customWidth="1"/>
    <col min="8" max="8" width="14.21875" customWidth="1"/>
  </cols>
  <sheetData>
    <row r="2" spans="1:9" ht="21" x14ac:dyDescent="0.4">
      <c r="B2" s="48" t="s">
        <v>129</v>
      </c>
      <c r="C2" s="42" t="s">
        <v>131</v>
      </c>
      <c r="D2" s="42"/>
      <c r="E2" s="42"/>
    </row>
    <row r="3" spans="1:9" ht="21" x14ac:dyDescent="0.4">
      <c r="B3" s="48" t="s">
        <v>130</v>
      </c>
    </row>
    <row r="5" spans="1:9" x14ac:dyDescent="0.3">
      <c r="A5" s="4"/>
      <c r="B5" s="5" t="s">
        <v>5</v>
      </c>
      <c r="C5" s="5" t="s">
        <v>9</v>
      </c>
      <c r="D5" s="5" t="s">
        <v>10</v>
      </c>
      <c r="E5" s="5" t="s">
        <v>11</v>
      </c>
      <c r="F5" s="5" t="s">
        <v>28</v>
      </c>
    </row>
    <row r="6" spans="1:9" x14ac:dyDescent="0.3">
      <c r="B6" s="5" t="s">
        <v>6</v>
      </c>
      <c r="C6" s="2">
        <v>1</v>
      </c>
      <c r="D6" s="2">
        <v>10</v>
      </c>
      <c r="E6" s="24">
        <f>D6/D20</f>
        <v>9.9009900990099015E-2</v>
      </c>
      <c r="F6" s="24" t="s">
        <v>29</v>
      </c>
      <c r="H6" s="22"/>
      <c r="I6" s="22"/>
    </row>
    <row r="7" spans="1:9" x14ac:dyDescent="0.3">
      <c r="B7" s="5" t="s">
        <v>7</v>
      </c>
      <c r="C7" s="2">
        <v>2</v>
      </c>
      <c r="D7" s="2">
        <v>9</v>
      </c>
      <c r="E7" s="25">
        <f>D7/D20</f>
        <v>8.9108910891089105E-2</v>
      </c>
      <c r="F7" s="25" t="s">
        <v>30</v>
      </c>
      <c r="H7" s="22"/>
      <c r="I7" s="22"/>
    </row>
    <row r="8" spans="1:9" x14ac:dyDescent="0.3">
      <c r="B8" s="5" t="s">
        <v>8</v>
      </c>
      <c r="C8" s="2">
        <v>3</v>
      </c>
      <c r="D8" s="2">
        <v>10</v>
      </c>
      <c r="E8" s="25">
        <f>D8/D20</f>
        <v>9.9009900990099015E-2</v>
      </c>
      <c r="F8" s="25" t="s">
        <v>29</v>
      </c>
    </row>
    <row r="9" spans="1:9" x14ac:dyDescent="0.3">
      <c r="B9" s="5" t="s">
        <v>23</v>
      </c>
      <c r="C9" s="2">
        <v>4</v>
      </c>
      <c r="D9" s="2">
        <v>8</v>
      </c>
      <c r="E9" s="25">
        <f>D9/D20</f>
        <v>7.9207920792079209E-2</v>
      </c>
      <c r="F9" s="25" t="s">
        <v>93</v>
      </c>
    </row>
    <row r="10" spans="1:9" x14ac:dyDescent="0.3">
      <c r="B10" s="5" t="s">
        <v>24</v>
      </c>
      <c r="C10" s="2">
        <v>5</v>
      </c>
      <c r="D10" s="2">
        <v>7</v>
      </c>
      <c r="E10" s="25">
        <f>D10/D20</f>
        <v>6.9306930693069313E-2</v>
      </c>
      <c r="F10" s="25" t="s">
        <v>94</v>
      </c>
    </row>
    <row r="11" spans="1:9" x14ac:dyDescent="0.3">
      <c r="B11" s="5" t="s">
        <v>25</v>
      </c>
      <c r="C11" s="2">
        <v>6</v>
      </c>
      <c r="D11" s="2">
        <v>8</v>
      </c>
      <c r="E11" s="25">
        <f>D11/D20</f>
        <v>7.9207920792079209E-2</v>
      </c>
      <c r="F11" s="25" t="s">
        <v>93</v>
      </c>
    </row>
    <row r="12" spans="1:9" x14ac:dyDescent="0.3">
      <c r="B12" s="5" t="s">
        <v>26</v>
      </c>
      <c r="C12" s="2">
        <v>7</v>
      </c>
      <c r="D12" s="2">
        <v>7</v>
      </c>
      <c r="E12" s="25">
        <f>D12/D20</f>
        <v>6.9306930693069313E-2</v>
      </c>
      <c r="F12" s="26" t="s">
        <v>94</v>
      </c>
    </row>
    <row r="13" spans="1:9" x14ac:dyDescent="0.3">
      <c r="B13" s="5" t="s">
        <v>27</v>
      </c>
      <c r="C13" s="2">
        <v>8</v>
      </c>
      <c r="D13" s="2">
        <v>6</v>
      </c>
      <c r="E13" s="25">
        <f>D13/D20</f>
        <v>5.9405940594059403E-2</v>
      </c>
      <c r="F13" s="25">
        <v>11</v>
      </c>
    </row>
    <row r="14" spans="1:9" x14ac:dyDescent="0.3">
      <c r="B14" s="5" t="s">
        <v>87</v>
      </c>
      <c r="C14" s="2">
        <v>9</v>
      </c>
      <c r="D14" s="2">
        <v>5</v>
      </c>
      <c r="E14" s="25">
        <f>D14/D20</f>
        <v>4.9504950495049507E-2</v>
      </c>
      <c r="F14" s="25" t="s">
        <v>95</v>
      </c>
    </row>
    <row r="15" spans="1:9" x14ac:dyDescent="0.3">
      <c r="B15" s="5" t="s">
        <v>88</v>
      </c>
      <c r="C15" s="2">
        <v>10</v>
      </c>
      <c r="D15" s="2">
        <v>7</v>
      </c>
      <c r="E15" s="25">
        <f>D15/D20</f>
        <v>6.9306930693069313E-2</v>
      </c>
      <c r="F15" s="25" t="s">
        <v>94</v>
      </c>
    </row>
    <row r="16" spans="1:9" x14ac:dyDescent="0.3">
      <c r="B16" s="5" t="s">
        <v>89</v>
      </c>
      <c r="C16" s="2">
        <v>11</v>
      </c>
      <c r="D16" s="2">
        <v>8</v>
      </c>
      <c r="E16" s="25">
        <f>D16/D20</f>
        <v>7.9207920792079209E-2</v>
      </c>
      <c r="F16" s="25" t="s">
        <v>93</v>
      </c>
    </row>
    <row r="17" spans="1:6" x14ac:dyDescent="0.3">
      <c r="B17" s="5" t="s">
        <v>90</v>
      </c>
      <c r="C17" s="2">
        <v>12</v>
      </c>
      <c r="D17" s="2">
        <v>5</v>
      </c>
      <c r="E17" s="25">
        <f>D17/D20</f>
        <v>4.9504950495049507E-2</v>
      </c>
      <c r="F17" s="25" t="s">
        <v>95</v>
      </c>
    </row>
    <row r="18" spans="1:6" x14ac:dyDescent="0.3">
      <c r="B18" s="5" t="s">
        <v>91</v>
      </c>
      <c r="C18" s="2">
        <v>13</v>
      </c>
      <c r="D18" s="2">
        <v>4</v>
      </c>
      <c r="E18" s="25">
        <f>D18/D20</f>
        <v>3.9603960396039604E-2</v>
      </c>
      <c r="F18" s="25" t="s">
        <v>96</v>
      </c>
    </row>
    <row r="19" spans="1:6" x14ac:dyDescent="0.3">
      <c r="B19" s="5" t="s">
        <v>92</v>
      </c>
      <c r="C19" s="2">
        <v>14</v>
      </c>
      <c r="D19" s="2">
        <v>7</v>
      </c>
      <c r="E19" s="25">
        <f>D19/D20</f>
        <v>6.9306930693069313E-2</v>
      </c>
      <c r="F19" s="25" t="s">
        <v>94</v>
      </c>
    </row>
    <row r="20" spans="1:6" x14ac:dyDescent="0.3">
      <c r="B20" s="5" t="s">
        <v>12</v>
      </c>
      <c r="C20" s="2"/>
      <c r="D20" s="2">
        <f>SUM(D6:D19)</f>
        <v>101</v>
      </c>
      <c r="E20" s="25">
        <f>SUM(E6:E19)</f>
        <v>1.0000000000000002</v>
      </c>
      <c r="F20" s="1"/>
    </row>
    <row r="21" spans="1:6" x14ac:dyDescent="0.3">
      <c r="B21" s="10"/>
      <c r="C21" s="8"/>
      <c r="D21" s="9"/>
      <c r="E21" s="9"/>
    </row>
    <row r="22" spans="1:6" x14ac:dyDescent="0.3">
      <c r="B22" s="46" t="s">
        <v>126</v>
      </c>
    </row>
    <row r="23" spans="1:6" x14ac:dyDescent="0.3">
      <c r="B23" s="47" t="s">
        <v>125</v>
      </c>
    </row>
    <row r="24" spans="1:6" x14ac:dyDescent="0.3">
      <c r="A24" s="4"/>
      <c r="B24" s="47" t="s">
        <v>127</v>
      </c>
    </row>
    <row r="25" spans="1:6" x14ac:dyDescent="0.3">
      <c r="B25" s="2" t="s">
        <v>128</v>
      </c>
    </row>
  </sheetData>
  <mergeCells count="1">
    <mergeCell ref="C2:E2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0CDB-654B-4363-8F7A-06CCCBF99234}">
  <dimension ref="A1:O39"/>
  <sheetViews>
    <sheetView tabSelected="1" workbookViewId="0">
      <selection activeCell="B1" sqref="B1"/>
    </sheetView>
  </sheetViews>
  <sheetFormatPr defaultRowHeight="14.4" x14ac:dyDescent="0.3"/>
  <cols>
    <col min="1" max="1" width="32.5546875" bestFit="1" customWidth="1"/>
    <col min="2" max="2" width="5.109375" bestFit="1" customWidth="1"/>
    <col min="3" max="3" width="32.21875" bestFit="1" customWidth="1"/>
  </cols>
  <sheetData>
    <row r="1" spans="1:4" ht="21" x14ac:dyDescent="0.4">
      <c r="A1" s="48" t="s">
        <v>129</v>
      </c>
      <c r="B1" s="49" t="s">
        <v>141</v>
      </c>
    </row>
    <row r="2" spans="1:4" ht="21" x14ac:dyDescent="0.4">
      <c r="A2" s="48" t="s">
        <v>130</v>
      </c>
    </row>
    <row r="3" spans="1:4" ht="21" x14ac:dyDescent="0.4">
      <c r="A3" s="48"/>
    </row>
    <row r="4" spans="1:4" x14ac:dyDescent="0.3">
      <c r="C4" t="s">
        <v>106</v>
      </c>
      <c r="D4">
        <f>0.8*0.5*0.2</f>
        <v>8.0000000000000016E-2</v>
      </c>
    </row>
    <row r="5" spans="1:4" x14ac:dyDescent="0.3">
      <c r="C5" t="s">
        <v>119</v>
      </c>
      <c r="D5">
        <f>0.8*0.5*0.1</f>
        <v>4.0000000000000008E-2</v>
      </c>
    </row>
    <row r="6" spans="1:4" x14ac:dyDescent="0.3">
      <c r="C6" t="s">
        <v>120</v>
      </c>
      <c r="D6">
        <f>0.8*0.5*0.3</f>
        <v>0.12</v>
      </c>
    </row>
    <row r="7" spans="1:4" x14ac:dyDescent="0.3">
      <c r="C7" t="s">
        <v>109</v>
      </c>
      <c r="D7">
        <f>0.8*0.5*0.25</f>
        <v>0.1</v>
      </c>
    </row>
    <row r="8" spans="1:4" x14ac:dyDescent="0.3">
      <c r="C8" t="s">
        <v>112</v>
      </c>
      <c r="D8">
        <f>0.8*0.5*0.15</f>
        <v>0.06</v>
      </c>
    </row>
    <row r="9" spans="1:4" x14ac:dyDescent="0.3">
      <c r="C9" t="s">
        <v>103</v>
      </c>
      <c r="D9">
        <f>0.8*0.5*0.175</f>
        <v>6.9999999999999993E-2</v>
      </c>
    </row>
    <row r="10" spans="1:4" x14ac:dyDescent="0.3">
      <c r="C10" t="s">
        <v>104</v>
      </c>
      <c r="D10">
        <f>0.8*0.5*0.1</f>
        <v>4.0000000000000008E-2</v>
      </c>
    </row>
    <row r="11" spans="1:4" x14ac:dyDescent="0.3">
      <c r="C11" t="s">
        <v>105</v>
      </c>
      <c r="D11">
        <f>0.8*0.5*0.25</f>
        <v>0.1</v>
      </c>
    </row>
    <row r="12" spans="1:4" x14ac:dyDescent="0.3">
      <c r="C12" t="s">
        <v>25</v>
      </c>
      <c r="D12">
        <f>0.8*0.5*0.125</f>
        <v>0.05</v>
      </c>
    </row>
    <row r="13" spans="1:4" x14ac:dyDescent="0.3">
      <c r="C13" t="s">
        <v>110</v>
      </c>
      <c r="D13">
        <f>0.8*0.5*0.2</f>
        <v>8.0000000000000016E-2</v>
      </c>
    </row>
    <row r="14" spans="1:4" x14ac:dyDescent="0.3">
      <c r="C14" t="s">
        <v>121</v>
      </c>
      <c r="D14" s="40">
        <f>0.8*0.5*0.15</f>
        <v>0.06</v>
      </c>
    </row>
    <row r="15" spans="1:4" x14ac:dyDescent="0.3">
      <c r="C15" t="s">
        <v>101</v>
      </c>
      <c r="D15">
        <f>0.1*0.4</f>
        <v>4.0000000000000008E-2</v>
      </c>
    </row>
    <row r="16" spans="1:4" x14ac:dyDescent="0.3">
      <c r="C16" t="s">
        <v>102</v>
      </c>
      <c r="D16">
        <f>0.1*0.6</f>
        <v>0.06</v>
      </c>
    </row>
    <row r="17" spans="1:15" x14ac:dyDescent="0.3">
      <c r="C17" t="s">
        <v>100</v>
      </c>
      <c r="D17">
        <f>0.1*1</f>
        <v>0.1</v>
      </c>
    </row>
    <row r="20" spans="1:15" x14ac:dyDescent="0.3">
      <c r="A20" t="s">
        <v>123</v>
      </c>
      <c r="B20">
        <f>0.07</f>
        <v>7.0000000000000007E-2</v>
      </c>
      <c r="C20">
        <f>0.04</f>
        <v>0.04</v>
      </c>
      <c r="D20">
        <f>0.1</f>
        <v>0.1</v>
      </c>
      <c r="E20">
        <f>0.1</f>
        <v>0.1</v>
      </c>
      <c r="F20">
        <f>0.08</f>
        <v>0.08</v>
      </c>
      <c r="G20">
        <f>0.05</f>
        <v>0.05</v>
      </c>
      <c r="H20">
        <f>0.12</f>
        <v>0.12</v>
      </c>
      <c r="I20">
        <f>0.04</f>
        <v>0.04</v>
      </c>
      <c r="J20">
        <f>0.1</f>
        <v>0.1</v>
      </c>
      <c r="K20">
        <f>0.08</f>
        <v>0.08</v>
      </c>
      <c r="L20">
        <f>0.04</f>
        <v>0.04</v>
      </c>
      <c r="M20">
        <f>0.06</f>
        <v>0.06</v>
      </c>
      <c r="N20">
        <v>0.06</v>
      </c>
      <c r="O20">
        <v>0.06</v>
      </c>
    </row>
    <row r="23" spans="1:15" x14ac:dyDescent="0.3">
      <c r="A23" s="17" t="s">
        <v>22</v>
      </c>
    </row>
    <row r="24" spans="1:15" x14ac:dyDescent="0.3">
      <c r="A24" s="18" t="s">
        <v>1</v>
      </c>
      <c r="B24" s="2">
        <v>7</v>
      </c>
      <c r="C24" s="2">
        <v>8</v>
      </c>
      <c r="D24" s="2">
        <v>10</v>
      </c>
      <c r="E24" s="2">
        <v>6</v>
      </c>
      <c r="F24" s="2">
        <v>8</v>
      </c>
      <c r="G24" s="2">
        <v>7</v>
      </c>
      <c r="H24" s="2">
        <v>5</v>
      </c>
      <c r="I24" s="2">
        <v>6</v>
      </c>
      <c r="J24" s="2">
        <v>5</v>
      </c>
      <c r="K24" s="2">
        <v>10</v>
      </c>
      <c r="L24" s="2">
        <v>9</v>
      </c>
      <c r="M24" s="2">
        <v>4</v>
      </c>
      <c r="N24" s="2">
        <v>5</v>
      </c>
      <c r="O24" s="2">
        <v>3</v>
      </c>
    </row>
    <row r="25" spans="1:15" x14ac:dyDescent="0.3">
      <c r="A25" s="18" t="s">
        <v>3</v>
      </c>
      <c r="B25" s="2">
        <v>6</v>
      </c>
      <c r="C25" s="2">
        <v>9</v>
      </c>
      <c r="D25" s="2">
        <v>6</v>
      </c>
      <c r="E25" s="2">
        <v>6</v>
      </c>
      <c r="F25" s="2">
        <v>6</v>
      </c>
      <c r="G25" s="2">
        <v>10</v>
      </c>
      <c r="H25" s="2">
        <v>7</v>
      </c>
      <c r="I25" s="2">
        <v>5</v>
      </c>
      <c r="J25" s="2">
        <v>9</v>
      </c>
      <c r="K25" s="2">
        <v>4</v>
      </c>
      <c r="L25" s="2">
        <v>7</v>
      </c>
      <c r="M25" s="2">
        <v>3</v>
      </c>
      <c r="N25" s="2">
        <v>5</v>
      </c>
      <c r="O25" s="2">
        <v>8</v>
      </c>
    </row>
    <row r="26" spans="1:15" x14ac:dyDescent="0.3">
      <c r="A26" s="18" t="s">
        <v>32</v>
      </c>
      <c r="B26" s="2">
        <v>9</v>
      </c>
      <c r="C26" s="2">
        <v>8</v>
      </c>
      <c r="D26" s="2">
        <v>10</v>
      </c>
      <c r="E26" s="2">
        <v>6</v>
      </c>
      <c r="F26" s="2">
        <v>6</v>
      </c>
      <c r="G26" s="2">
        <v>6</v>
      </c>
      <c r="H26" s="2">
        <v>10</v>
      </c>
      <c r="I26" s="2">
        <v>5</v>
      </c>
      <c r="J26" s="2">
        <v>5</v>
      </c>
      <c r="K26" s="2">
        <v>5</v>
      </c>
      <c r="L26" s="2">
        <v>7</v>
      </c>
      <c r="M26" s="2">
        <v>6</v>
      </c>
      <c r="N26" s="2">
        <v>5</v>
      </c>
      <c r="O26" s="2">
        <v>6</v>
      </c>
    </row>
    <row r="27" spans="1:15" x14ac:dyDescent="0.3">
      <c r="A27" s="18" t="s">
        <v>13</v>
      </c>
      <c r="B27" s="2">
        <v>9</v>
      </c>
      <c r="C27" s="2">
        <v>10</v>
      </c>
      <c r="D27" s="2">
        <v>10</v>
      </c>
      <c r="E27" s="2">
        <v>6</v>
      </c>
      <c r="F27" s="2">
        <v>6</v>
      </c>
      <c r="G27" s="2">
        <v>6</v>
      </c>
      <c r="H27" s="2">
        <v>10</v>
      </c>
      <c r="I27" s="2">
        <v>3</v>
      </c>
      <c r="J27" s="2">
        <v>5</v>
      </c>
      <c r="K27" s="2">
        <v>10</v>
      </c>
      <c r="L27" s="2">
        <v>3</v>
      </c>
      <c r="M27" s="2">
        <v>9</v>
      </c>
      <c r="N27" s="2">
        <v>5</v>
      </c>
      <c r="O27" s="2">
        <v>2</v>
      </c>
    </row>
    <row r="28" spans="1:15" x14ac:dyDescent="0.3">
      <c r="A28" s="18" t="s">
        <v>0</v>
      </c>
      <c r="B28" s="2">
        <v>6</v>
      </c>
      <c r="C28" s="2">
        <v>5</v>
      </c>
      <c r="D28" s="2">
        <v>6</v>
      </c>
      <c r="E28" s="2">
        <v>5</v>
      </c>
      <c r="F28" s="2">
        <v>8</v>
      </c>
      <c r="G28" s="2">
        <v>6</v>
      </c>
      <c r="H28" s="2">
        <v>7</v>
      </c>
      <c r="I28" s="2">
        <v>4</v>
      </c>
      <c r="J28" s="2">
        <v>5</v>
      </c>
      <c r="K28" s="2">
        <v>10</v>
      </c>
      <c r="L28" s="2">
        <v>8</v>
      </c>
      <c r="M28" s="2">
        <v>3</v>
      </c>
      <c r="N28" s="2">
        <v>3</v>
      </c>
      <c r="O28" s="2">
        <v>5</v>
      </c>
    </row>
    <row r="29" spans="1:15" x14ac:dyDescent="0.3">
      <c r="A29" s="18" t="s">
        <v>57</v>
      </c>
      <c r="B29" s="2">
        <v>6</v>
      </c>
      <c r="C29" s="2">
        <v>4</v>
      </c>
      <c r="D29" s="2">
        <v>5</v>
      </c>
      <c r="E29" s="2">
        <v>4</v>
      </c>
      <c r="F29" s="2">
        <v>10</v>
      </c>
      <c r="G29" s="2">
        <v>8</v>
      </c>
      <c r="H29" s="2">
        <v>7</v>
      </c>
      <c r="I29" s="2">
        <v>4</v>
      </c>
      <c r="J29" s="2">
        <v>5</v>
      </c>
      <c r="K29" s="2">
        <v>10</v>
      </c>
      <c r="L29" s="2">
        <v>7</v>
      </c>
      <c r="M29" s="2">
        <v>5</v>
      </c>
      <c r="N29" s="2">
        <v>10</v>
      </c>
      <c r="O29" s="2">
        <v>4</v>
      </c>
    </row>
    <row r="30" spans="1:15" x14ac:dyDescent="0.3">
      <c r="A30" s="18" t="s">
        <v>69</v>
      </c>
      <c r="B30" s="2">
        <v>7</v>
      </c>
      <c r="C30" s="2">
        <v>2</v>
      </c>
      <c r="D30" s="2">
        <v>5</v>
      </c>
      <c r="E30" s="2">
        <v>3</v>
      </c>
      <c r="F30" s="2">
        <v>3</v>
      </c>
      <c r="G30" s="2">
        <v>6</v>
      </c>
      <c r="H30" s="2">
        <v>3</v>
      </c>
      <c r="I30" s="2">
        <v>2</v>
      </c>
      <c r="J30" s="2">
        <v>9</v>
      </c>
      <c r="K30" s="2">
        <v>10</v>
      </c>
      <c r="L30" s="2">
        <v>5</v>
      </c>
      <c r="M30" s="2">
        <v>3</v>
      </c>
      <c r="N30" s="2">
        <v>3</v>
      </c>
      <c r="O30" s="2">
        <v>3</v>
      </c>
    </row>
    <row r="32" spans="1:15" x14ac:dyDescent="0.3">
      <c r="A32" s="19" t="s">
        <v>51</v>
      </c>
      <c r="B32" s="2" t="s">
        <v>53</v>
      </c>
      <c r="C32" s="20" t="s">
        <v>54</v>
      </c>
    </row>
    <row r="33" spans="1:3" x14ac:dyDescent="0.3">
      <c r="A33" s="19" t="s">
        <v>1</v>
      </c>
      <c r="B33" s="2">
        <f>SUMPRODUCT(B24:O24,B20:O20)</f>
        <v>6.62</v>
      </c>
      <c r="C33" s="21">
        <f>_xlfn.RANK.EQ(B33,B33:B39)</f>
        <v>3</v>
      </c>
    </row>
    <row r="34" spans="1:3" x14ac:dyDescent="0.3">
      <c r="A34" s="19" t="s">
        <v>3</v>
      </c>
      <c r="B34" s="2">
        <f>SUMPRODUCT(B25:O25,B20:O20)</f>
        <v>6.4600000000000009</v>
      </c>
      <c r="C34" s="21">
        <f>_xlfn.RANK.EQ(B34,B33:B39)</f>
        <v>4</v>
      </c>
    </row>
    <row r="35" spans="1:3" x14ac:dyDescent="0.3">
      <c r="A35" s="19" t="s">
        <v>52</v>
      </c>
      <c r="B35" s="2">
        <f>SUMPRODUCT(B26:O26,B20:O20)</f>
        <v>6.9300000000000015</v>
      </c>
      <c r="C35" s="21">
        <f>_xlfn.RANK.EQ(B35,B33:B39)</f>
        <v>2</v>
      </c>
    </row>
    <row r="36" spans="1:3" x14ac:dyDescent="0.3">
      <c r="A36" s="19" t="s">
        <v>56</v>
      </c>
      <c r="B36" s="2">
        <f>SUMPRODUCT(B27:O27,B20:O20)</f>
        <v>7.11</v>
      </c>
      <c r="C36" s="21">
        <f>_xlfn.RANK.EQ(B36,B33:B39)</f>
        <v>1</v>
      </c>
    </row>
    <row r="37" spans="1:3" x14ac:dyDescent="0.3">
      <c r="A37" s="19" t="s">
        <v>0</v>
      </c>
      <c r="B37" s="2">
        <f>SUMPRODUCT(B28:O28,B20:O20)</f>
        <v>5.9399999999999995</v>
      </c>
      <c r="C37" s="21">
        <f>_xlfn.RANK.EQ(B37,B33:B39)</f>
        <v>6</v>
      </c>
    </row>
    <row r="38" spans="1:3" x14ac:dyDescent="0.3">
      <c r="A38" s="19" t="s">
        <v>57</v>
      </c>
      <c r="B38" s="2">
        <f>SUMPRODUCT(B29:O29,B20:O20)</f>
        <v>6.3999999999999995</v>
      </c>
      <c r="C38" s="21">
        <f>_xlfn.RANK.EQ(B38,B33:B39)</f>
        <v>5</v>
      </c>
    </row>
    <row r="39" spans="1:3" x14ac:dyDescent="0.3">
      <c r="A39" s="19" t="s">
        <v>98</v>
      </c>
      <c r="B39" s="2">
        <f>SUMPRODUCT(B30:O30,B20:O20)</f>
        <v>4.7899999999999991</v>
      </c>
      <c r="C39" s="21">
        <f>_xlfn.RANK.EQ(B39,B33:B39)</f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2298-6D33-4CBE-833E-EC7668F6E4ED}">
  <dimension ref="A3:P30"/>
  <sheetViews>
    <sheetView workbookViewId="0">
      <selection activeCell="A3" sqref="A3:A4"/>
    </sheetView>
  </sheetViews>
  <sheetFormatPr defaultRowHeight="14.4" x14ac:dyDescent="0.3"/>
  <cols>
    <col min="1" max="1" width="43.109375" bestFit="1" customWidth="1"/>
    <col min="2" max="2" width="59.88671875" bestFit="1" customWidth="1"/>
    <col min="3" max="3" width="17.5546875" bestFit="1" customWidth="1"/>
    <col min="4" max="4" width="44.5546875" bestFit="1" customWidth="1"/>
    <col min="5" max="5" width="36.5546875" bestFit="1" customWidth="1"/>
    <col min="6" max="6" width="36" bestFit="1" customWidth="1"/>
    <col min="7" max="7" width="7" bestFit="1" customWidth="1"/>
    <col min="8" max="8" width="39.44140625" bestFit="1" customWidth="1"/>
    <col min="9" max="9" width="39.44140625" customWidth="1"/>
    <col min="10" max="10" width="44.109375" bestFit="1" customWidth="1"/>
    <col min="11" max="11" width="38.5546875" bestFit="1" customWidth="1"/>
    <col min="12" max="12" width="28.77734375" bestFit="1" customWidth="1"/>
    <col min="13" max="13" width="35.109375" bestFit="1" customWidth="1"/>
    <col min="14" max="14" width="28.77734375" bestFit="1" customWidth="1"/>
    <col min="15" max="15" width="25.33203125" bestFit="1" customWidth="1"/>
    <col min="16" max="16" width="38" bestFit="1" customWidth="1"/>
  </cols>
  <sheetData>
    <row r="3" spans="1:16" ht="21" x14ac:dyDescent="0.4">
      <c r="A3" s="48" t="s">
        <v>129</v>
      </c>
      <c r="B3" s="49" t="s">
        <v>132</v>
      </c>
    </row>
    <row r="4" spans="1:16" ht="21" x14ac:dyDescent="0.4">
      <c r="A4" s="48" t="s">
        <v>130</v>
      </c>
    </row>
    <row r="6" spans="1:16" x14ac:dyDescent="0.3">
      <c r="A6" s="14"/>
      <c r="B6" s="16" t="s">
        <v>44</v>
      </c>
      <c r="C6" s="16" t="s">
        <v>45</v>
      </c>
      <c r="D6" s="16" t="s">
        <v>46</v>
      </c>
      <c r="E6" s="16" t="s">
        <v>47</v>
      </c>
      <c r="F6" s="16" t="s">
        <v>48</v>
      </c>
      <c r="G6" s="16" t="s">
        <v>31</v>
      </c>
      <c r="H6" s="16" t="s">
        <v>49</v>
      </c>
      <c r="I6" s="16"/>
      <c r="J6" s="16" t="s">
        <v>50</v>
      </c>
      <c r="K6" s="16" t="s">
        <v>72</v>
      </c>
      <c r="L6" s="16" t="s">
        <v>71</v>
      </c>
      <c r="M6" s="16" t="s">
        <v>73</v>
      </c>
      <c r="N6" s="16" t="s">
        <v>77</v>
      </c>
      <c r="O6" s="16" t="s">
        <v>99</v>
      </c>
      <c r="P6" s="16" t="s">
        <v>86</v>
      </c>
    </row>
    <row r="7" spans="1:16" x14ac:dyDescent="0.3">
      <c r="A7" s="16" t="s">
        <v>1</v>
      </c>
      <c r="B7" s="13">
        <v>4359265.4000000004</v>
      </c>
      <c r="C7" s="14">
        <v>11300</v>
      </c>
      <c r="D7" s="14">
        <v>3.99</v>
      </c>
      <c r="E7" s="14" t="s">
        <v>33</v>
      </c>
      <c r="F7" s="14" t="s">
        <v>34</v>
      </c>
      <c r="G7" s="14">
        <v>80</v>
      </c>
      <c r="H7" s="14" t="s">
        <v>36</v>
      </c>
      <c r="I7" s="16" t="s">
        <v>1</v>
      </c>
      <c r="J7" s="14" t="s">
        <v>38</v>
      </c>
      <c r="K7" s="6">
        <v>2400</v>
      </c>
      <c r="L7" s="2">
        <v>0</v>
      </c>
      <c r="M7" s="2" t="s">
        <v>74</v>
      </c>
      <c r="N7" s="2" t="s">
        <v>78</v>
      </c>
      <c r="O7" s="6" t="s">
        <v>83</v>
      </c>
      <c r="P7" s="2">
        <v>5</v>
      </c>
    </row>
    <row r="8" spans="1:16" x14ac:dyDescent="0.3">
      <c r="A8" s="16" t="s">
        <v>3</v>
      </c>
      <c r="B8" s="13">
        <v>4397279.13</v>
      </c>
      <c r="C8" s="14">
        <v>12152</v>
      </c>
      <c r="D8" s="14">
        <v>4.09</v>
      </c>
      <c r="E8" s="14" t="s">
        <v>33</v>
      </c>
      <c r="F8" s="14" t="s">
        <v>35</v>
      </c>
      <c r="G8" s="14">
        <v>90</v>
      </c>
      <c r="H8" s="14" t="s">
        <v>37</v>
      </c>
      <c r="I8" s="16" t="s">
        <v>3</v>
      </c>
      <c r="J8" s="14" t="s">
        <v>67</v>
      </c>
      <c r="K8" s="6" t="s">
        <v>70</v>
      </c>
      <c r="L8" s="2">
        <v>150</v>
      </c>
      <c r="M8" s="2" t="s">
        <v>74</v>
      </c>
      <c r="N8" s="2" t="s">
        <v>79</v>
      </c>
      <c r="O8" s="6" t="s">
        <v>84</v>
      </c>
      <c r="P8" s="2">
        <v>40</v>
      </c>
    </row>
    <row r="9" spans="1:16" x14ac:dyDescent="0.3">
      <c r="A9" s="16" t="s">
        <v>32</v>
      </c>
      <c r="B9" s="13">
        <v>4397279.13</v>
      </c>
      <c r="C9" s="14">
        <v>12152</v>
      </c>
      <c r="D9" s="14">
        <v>3.55</v>
      </c>
      <c r="E9" s="14" t="s">
        <v>33</v>
      </c>
      <c r="F9" s="14" t="s">
        <v>35</v>
      </c>
      <c r="G9" s="14">
        <v>80</v>
      </c>
      <c r="H9" s="14" t="s">
        <v>42</v>
      </c>
      <c r="I9" s="16" t="s">
        <v>32</v>
      </c>
      <c r="J9" s="14" t="s">
        <v>39</v>
      </c>
      <c r="K9" s="6">
        <v>2900</v>
      </c>
      <c r="L9" s="2">
        <v>200</v>
      </c>
      <c r="M9" s="2" t="s">
        <v>74</v>
      </c>
      <c r="N9" s="2" t="s">
        <v>80</v>
      </c>
      <c r="O9" s="6" t="s">
        <v>85</v>
      </c>
      <c r="P9" s="2">
        <v>20</v>
      </c>
    </row>
    <row r="10" spans="1:16" x14ac:dyDescent="0.3">
      <c r="A10" s="16" t="s">
        <v>56</v>
      </c>
      <c r="B10" s="13">
        <v>4265049.78</v>
      </c>
      <c r="C10" s="14">
        <v>13876</v>
      </c>
      <c r="D10" s="14">
        <v>3.74</v>
      </c>
      <c r="E10" s="14" t="s">
        <v>63</v>
      </c>
      <c r="F10" s="14" t="s">
        <v>35</v>
      </c>
      <c r="G10" s="14">
        <v>80</v>
      </c>
      <c r="H10" s="14" t="s">
        <v>59</v>
      </c>
      <c r="I10" s="16" t="s">
        <v>56</v>
      </c>
      <c r="J10" s="14" t="s">
        <v>65</v>
      </c>
      <c r="K10" s="6" t="s">
        <v>70</v>
      </c>
      <c r="L10" s="2">
        <v>0</v>
      </c>
      <c r="M10" s="2" t="s">
        <v>75</v>
      </c>
      <c r="N10" s="2" t="s">
        <v>81</v>
      </c>
      <c r="O10" s="6" t="s">
        <v>85</v>
      </c>
      <c r="P10" s="2">
        <v>5</v>
      </c>
    </row>
    <row r="11" spans="1:16" x14ac:dyDescent="0.3">
      <c r="A11" s="16" t="s">
        <v>0</v>
      </c>
      <c r="B11" s="13">
        <v>4359265.4000000004</v>
      </c>
      <c r="C11" s="14">
        <v>14305</v>
      </c>
      <c r="D11" s="14">
        <v>3.99</v>
      </c>
      <c r="E11" s="14" t="s">
        <v>33</v>
      </c>
      <c r="F11" s="14" t="s">
        <v>34</v>
      </c>
      <c r="G11" s="14">
        <v>90</v>
      </c>
      <c r="H11" s="14" t="s">
        <v>60</v>
      </c>
      <c r="I11" s="16" t="s">
        <v>0</v>
      </c>
      <c r="J11" s="14" t="s">
        <v>66</v>
      </c>
      <c r="K11" s="6">
        <v>2900</v>
      </c>
      <c r="L11" s="2">
        <v>0</v>
      </c>
      <c r="M11" s="2" t="s">
        <v>74</v>
      </c>
      <c r="N11" s="2" t="s">
        <v>78</v>
      </c>
      <c r="O11" s="6" t="s">
        <v>85</v>
      </c>
      <c r="P11" s="2">
        <v>15</v>
      </c>
    </row>
    <row r="12" spans="1:16" x14ac:dyDescent="0.3">
      <c r="A12" s="16" t="s">
        <v>57</v>
      </c>
      <c r="B12" s="13">
        <v>4359265.4000000004</v>
      </c>
      <c r="C12" s="14">
        <v>14653</v>
      </c>
      <c r="D12" s="14">
        <v>4.1900000000000004</v>
      </c>
      <c r="E12" s="14" t="s">
        <v>64</v>
      </c>
      <c r="F12" s="14" t="s">
        <v>34</v>
      </c>
      <c r="G12" s="14">
        <v>90</v>
      </c>
      <c r="H12" s="14" t="s">
        <v>62</v>
      </c>
      <c r="I12" s="16" t="s">
        <v>57</v>
      </c>
      <c r="J12" s="14" t="s">
        <v>68</v>
      </c>
      <c r="K12" s="6">
        <v>4990</v>
      </c>
      <c r="L12" s="2">
        <v>0</v>
      </c>
      <c r="M12" s="2" t="s">
        <v>74</v>
      </c>
      <c r="N12" s="2" t="s">
        <v>78</v>
      </c>
      <c r="O12" s="6">
        <v>2000</v>
      </c>
      <c r="P12" s="2">
        <v>15</v>
      </c>
    </row>
    <row r="13" spans="1:16" x14ac:dyDescent="0.3">
      <c r="A13" s="16" t="s">
        <v>58</v>
      </c>
      <c r="B13" s="13">
        <v>4551189.92</v>
      </c>
      <c r="C13" s="14">
        <v>15183</v>
      </c>
      <c r="D13" s="14">
        <v>4.49</v>
      </c>
      <c r="E13" s="14" t="s">
        <v>63</v>
      </c>
      <c r="F13" s="14" t="s">
        <v>35</v>
      </c>
      <c r="G13" s="14">
        <v>90</v>
      </c>
      <c r="H13" s="14" t="s">
        <v>61</v>
      </c>
      <c r="I13" s="16" t="s">
        <v>58</v>
      </c>
      <c r="J13" s="14" t="s">
        <v>68</v>
      </c>
      <c r="K13" s="6" t="s">
        <v>70</v>
      </c>
      <c r="L13" s="2">
        <v>0</v>
      </c>
      <c r="M13" s="2" t="s">
        <v>76</v>
      </c>
      <c r="N13" s="2" t="s">
        <v>82</v>
      </c>
      <c r="O13" s="6" t="s">
        <v>85</v>
      </c>
      <c r="P13" s="2">
        <v>5</v>
      </c>
    </row>
    <row r="14" spans="1:16" x14ac:dyDescent="0.3">
      <c r="A14" s="16" t="s">
        <v>21</v>
      </c>
      <c r="B14" s="14" t="s">
        <v>18</v>
      </c>
      <c r="C14" s="14" t="s">
        <v>18</v>
      </c>
      <c r="D14" s="14" t="s">
        <v>18</v>
      </c>
      <c r="E14" s="14" t="s">
        <v>19</v>
      </c>
      <c r="F14" s="14" t="s">
        <v>18</v>
      </c>
      <c r="G14" s="14" t="s">
        <v>19</v>
      </c>
      <c r="H14" s="14" t="s">
        <v>18</v>
      </c>
      <c r="I14" s="16" t="s">
        <v>21</v>
      </c>
      <c r="J14" s="14" t="s">
        <v>19</v>
      </c>
      <c r="K14" s="2" t="s">
        <v>18</v>
      </c>
      <c r="L14" s="2" t="s">
        <v>18</v>
      </c>
      <c r="M14" s="2" t="s">
        <v>18</v>
      </c>
      <c r="N14" s="23" t="s">
        <v>19</v>
      </c>
      <c r="O14" s="6" t="s">
        <v>18</v>
      </c>
      <c r="P14" s="2" t="s">
        <v>19</v>
      </c>
    </row>
    <row r="15" spans="1:16" x14ac:dyDescent="0.3">
      <c r="A15" s="16" t="s">
        <v>20</v>
      </c>
      <c r="B15" s="27"/>
      <c r="C15" s="27"/>
      <c r="D15" s="27"/>
      <c r="E15" s="27"/>
      <c r="F15" s="27"/>
      <c r="G15" s="27"/>
      <c r="H15" s="27"/>
      <c r="I15" s="16" t="s">
        <v>20</v>
      </c>
      <c r="J15" s="27"/>
      <c r="K15" s="25"/>
      <c r="L15" s="25"/>
      <c r="M15" s="25"/>
      <c r="N15" s="25"/>
      <c r="O15" s="25"/>
      <c r="P15" s="2"/>
    </row>
    <row r="16" spans="1:16" x14ac:dyDescent="0.3">
      <c r="A16" s="16" t="s">
        <v>40</v>
      </c>
      <c r="B16" s="14">
        <f>MIN(B7:B13)</f>
        <v>4265049.78</v>
      </c>
      <c r="C16" s="15">
        <f>MIN(C7:C13)</f>
        <v>11300</v>
      </c>
      <c r="D16" s="14">
        <f>MIN(D7:D13)</f>
        <v>3.55</v>
      </c>
      <c r="E16" s="14" t="s">
        <v>63</v>
      </c>
      <c r="F16" s="14" t="s">
        <v>35</v>
      </c>
      <c r="G16" s="14">
        <f>MIN(G7:G13)</f>
        <v>80</v>
      </c>
      <c r="H16" s="14">
        <v>3.29</v>
      </c>
      <c r="I16" s="16" t="s">
        <v>40</v>
      </c>
      <c r="J16" s="14" t="s">
        <v>97</v>
      </c>
      <c r="K16" s="2" t="s">
        <v>70</v>
      </c>
      <c r="L16" s="2">
        <v>0</v>
      </c>
      <c r="M16" s="2" t="s">
        <v>74</v>
      </c>
      <c r="N16" s="28">
        <v>0.6875</v>
      </c>
      <c r="O16" s="6">
        <v>1750</v>
      </c>
      <c r="P16" s="6">
        <v>5</v>
      </c>
    </row>
    <row r="17" spans="1:16" x14ac:dyDescent="0.3">
      <c r="A17" s="16" t="s">
        <v>41</v>
      </c>
      <c r="B17" s="14">
        <f>MAX(B7:B13)</f>
        <v>4551189.92</v>
      </c>
      <c r="C17" s="14">
        <f>MAX(C7:C13)</f>
        <v>15183</v>
      </c>
      <c r="D17" s="14">
        <f>MAX(D7:D13)</f>
        <v>4.49</v>
      </c>
      <c r="E17" s="14" t="s">
        <v>33</v>
      </c>
      <c r="F17" s="14" t="s">
        <v>34</v>
      </c>
      <c r="G17" s="14">
        <f>MAX(G7:G13)</f>
        <v>90</v>
      </c>
      <c r="H17" s="14">
        <v>4.49</v>
      </c>
      <c r="I17" s="16" t="s">
        <v>41</v>
      </c>
      <c r="J17" s="14" t="s">
        <v>43</v>
      </c>
      <c r="K17" s="6">
        <v>4990</v>
      </c>
      <c r="L17" s="2">
        <v>200</v>
      </c>
      <c r="M17" s="2" t="s">
        <v>75</v>
      </c>
      <c r="N17" s="28">
        <v>0.875</v>
      </c>
      <c r="O17" s="6">
        <v>9900</v>
      </c>
      <c r="P17" s="6">
        <v>40</v>
      </c>
    </row>
    <row r="30" spans="1:16" x14ac:dyDescent="0.3">
      <c r="O30" s="2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4079-56C1-474C-B704-C9E7C852C68D}">
  <dimension ref="A1:D12"/>
  <sheetViews>
    <sheetView workbookViewId="0">
      <selection activeCell="B14" sqref="B14"/>
    </sheetView>
  </sheetViews>
  <sheetFormatPr defaultRowHeight="14.4" x14ac:dyDescent="0.3"/>
  <cols>
    <col min="1" max="1" width="18.5546875" bestFit="1" customWidth="1"/>
    <col min="2" max="2" width="39.21875" bestFit="1" customWidth="1"/>
    <col min="3" max="3" width="17.21875" bestFit="1" customWidth="1"/>
    <col min="4" max="4" width="16.109375" bestFit="1" customWidth="1"/>
  </cols>
  <sheetData>
    <row r="1" spans="1:4" x14ac:dyDescent="0.3">
      <c r="A1" s="2"/>
      <c r="B1" s="3" t="s">
        <v>16</v>
      </c>
      <c r="C1" s="3" t="s">
        <v>17</v>
      </c>
      <c r="D1" s="3" t="s">
        <v>15</v>
      </c>
    </row>
    <row r="2" spans="1:4" x14ac:dyDescent="0.3">
      <c r="A2" s="5" t="s">
        <v>0</v>
      </c>
      <c r="B2" s="6">
        <v>1431933</v>
      </c>
      <c r="C2" s="6">
        <v>12311</v>
      </c>
      <c r="D2" s="7">
        <v>2.79</v>
      </c>
    </row>
    <row r="3" spans="1:4" x14ac:dyDescent="0.3">
      <c r="A3" s="5" t="s">
        <v>1</v>
      </c>
      <c r="B3" s="11">
        <v>1067944</v>
      </c>
      <c r="C3" s="2">
        <v>11300</v>
      </c>
      <c r="D3" s="7">
        <v>2.14</v>
      </c>
    </row>
    <row r="4" spans="1:4" x14ac:dyDescent="0.3">
      <c r="A4" s="5" t="s">
        <v>3</v>
      </c>
      <c r="B4" s="11">
        <v>1374745</v>
      </c>
      <c r="C4" s="2">
        <v>12152</v>
      </c>
      <c r="D4" s="2">
        <v>2.69</v>
      </c>
    </row>
    <row r="5" spans="1:4" x14ac:dyDescent="0.3">
      <c r="A5" s="5" t="s">
        <v>2</v>
      </c>
      <c r="B5" s="12">
        <v>1403246</v>
      </c>
      <c r="C5" s="2">
        <v>12231</v>
      </c>
      <c r="D5" s="2">
        <v>2.74</v>
      </c>
    </row>
    <row r="6" spans="1:4" x14ac:dyDescent="0.3">
      <c r="A6" s="5" t="s">
        <v>14</v>
      </c>
      <c r="B6" s="11">
        <v>1374745</v>
      </c>
      <c r="C6" s="2">
        <v>12152</v>
      </c>
      <c r="D6" s="2">
        <v>2.69</v>
      </c>
    </row>
    <row r="7" spans="1:4" x14ac:dyDescent="0.3">
      <c r="A7" s="5" t="s">
        <v>13</v>
      </c>
      <c r="B7" s="6">
        <v>1547507</v>
      </c>
      <c r="C7" s="2">
        <v>12632</v>
      </c>
      <c r="D7" s="2">
        <v>2.99</v>
      </c>
    </row>
    <row r="8" spans="1:4" x14ac:dyDescent="0.3">
      <c r="A8" s="5" t="s">
        <v>4</v>
      </c>
      <c r="B8" s="6">
        <v>1843711</v>
      </c>
      <c r="C8" s="2">
        <v>13455</v>
      </c>
      <c r="D8" s="2">
        <v>3.49</v>
      </c>
    </row>
    <row r="9" spans="1:4" x14ac:dyDescent="0.3">
      <c r="A9" s="5" t="s">
        <v>21</v>
      </c>
      <c r="B9" s="2" t="s">
        <v>18</v>
      </c>
      <c r="C9" s="2" t="s">
        <v>18</v>
      </c>
      <c r="D9" s="2" t="s">
        <v>18</v>
      </c>
    </row>
    <row r="12" spans="1:4" x14ac:dyDescent="0.3">
      <c r="B12" t="s">
        <v>55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CBE0-52C1-4D7E-AA6C-73D8197DA516}">
  <dimension ref="B2:Q38"/>
  <sheetViews>
    <sheetView zoomScale="66" zoomScaleNormal="66" workbookViewId="0">
      <selection activeCell="C2" sqref="C2"/>
    </sheetView>
  </sheetViews>
  <sheetFormatPr defaultRowHeight="14.4" x14ac:dyDescent="0.3"/>
  <cols>
    <col min="2" max="2" width="33.21875" bestFit="1" customWidth="1"/>
    <col min="3" max="3" width="57.33203125" customWidth="1"/>
    <col min="4" max="4" width="26.88671875" customWidth="1"/>
    <col min="5" max="5" width="21.21875" bestFit="1" customWidth="1"/>
    <col min="6" max="6" width="37.77734375" bestFit="1" customWidth="1"/>
    <col min="7" max="7" width="37.21875" bestFit="1" customWidth="1"/>
    <col min="8" max="8" width="8.33203125" customWidth="1"/>
    <col min="9" max="10" width="40.21875" customWidth="1"/>
    <col min="11" max="11" width="45" bestFit="1" customWidth="1"/>
    <col min="12" max="12" width="39.6640625" bestFit="1" customWidth="1"/>
    <col min="13" max="13" width="29.77734375" bestFit="1" customWidth="1"/>
    <col min="14" max="14" width="35.77734375" bestFit="1" customWidth="1"/>
    <col min="15" max="15" width="29.77734375" bestFit="1" customWidth="1"/>
    <col min="16" max="16" width="25.77734375" bestFit="1" customWidth="1"/>
    <col min="17" max="17" width="39.109375" bestFit="1" customWidth="1"/>
  </cols>
  <sheetData>
    <row r="2" spans="2:17" ht="21" x14ac:dyDescent="0.4">
      <c r="B2" s="48" t="s">
        <v>129</v>
      </c>
      <c r="C2" s="49" t="s">
        <v>138</v>
      </c>
      <c r="D2" s="49"/>
    </row>
    <row r="3" spans="2:17" ht="21" x14ac:dyDescent="0.4">
      <c r="B3" s="48" t="s">
        <v>130</v>
      </c>
    </row>
    <row r="7" spans="2:17" x14ac:dyDescent="0.3">
      <c r="B7" s="14"/>
      <c r="C7" s="16" t="s">
        <v>44</v>
      </c>
      <c r="D7" s="16" t="s">
        <v>45</v>
      </c>
      <c r="E7" s="16" t="s">
        <v>46</v>
      </c>
      <c r="F7" s="16" t="s">
        <v>47</v>
      </c>
      <c r="G7" s="16" t="s">
        <v>48</v>
      </c>
      <c r="H7" s="16" t="s">
        <v>31</v>
      </c>
      <c r="I7" s="16" t="s">
        <v>49</v>
      </c>
      <c r="J7" s="16"/>
      <c r="K7" s="16" t="s">
        <v>50</v>
      </c>
      <c r="L7" s="16" t="s">
        <v>72</v>
      </c>
      <c r="M7" s="16" t="s">
        <v>71</v>
      </c>
      <c r="N7" s="16" t="s">
        <v>73</v>
      </c>
      <c r="O7" s="16" t="s">
        <v>77</v>
      </c>
      <c r="P7" s="16" t="s">
        <v>99</v>
      </c>
      <c r="Q7" s="16" t="s">
        <v>86</v>
      </c>
    </row>
    <row r="8" spans="2:17" x14ac:dyDescent="0.3">
      <c r="B8" s="16" t="s">
        <v>1</v>
      </c>
      <c r="C8" s="13">
        <v>4359265.4000000004</v>
      </c>
      <c r="D8" s="14">
        <v>11300</v>
      </c>
      <c r="E8" s="14">
        <v>3.99</v>
      </c>
      <c r="F8" s="14" t="s">
        <v>33</v>
      </c>
      <c r="G8" s="14" t="s">
        <v>34</v>
      </c>
      <c r="H8" s="14">
        <v>80</v>
      </c>
      <c r="I8" s="14" t="s">
        <v>36</v>
      </c>
      <c r="J8" s="16" t="s">
        <v>1</v>
      </c>
      <c r="K8" s="14" t="s">
        <v>38</v>
      </c>
      <c r="L8" s="6">
        <v>2400</v>
      </c>
      <c r="M8" s="2">
        <v>0</v>
      </c>
      <c r="N8" s="2" t="s">
        <v>74</v>
      </c>
      <c r="O8" s="2" t="s">
        <v>78</v>
      </c>
      <c r="P8" s="6" t="s">
        <v>83</v>
      </c>
      <c r="Q8" s="2">
        <v>5</v>
      </c>
    </row>
    <row r="9" spans="2:17" x14ac:dyDescent="0.3">
      <c r="B9" s="16" t="s">
        <v>3</v>
      </c>
      <c r="C9" s="13">
        <v>4397279.13</v>
      </c>
      <c r="D9" s="14">
        <v>12152</v>
      </c>
      <c r="E9" s="14">
        <v>4.09</v>
      </c>
      <c r="F9" s="14" t="s">
        <v>33</v>
      </c>
      <c r="G9" s="14" t="s">
        <v>35</v>
      </c>
      <c r="H9" s="14">
        <v>90</v>
      </c>
      <c r="I9" s="14" t="s">
        <v>37</v>
      </c>
      <c r="J9" s="16" t="s">
        <v>3</v>
      </c>
      <c r="K9" s="14" t="s">
        <v>67</v>
      </c>
      <c r="L9" s="6" t="s">
        <v>70</v>
      </c>
      <c r="M9" s="2">
        <v>150</v>
      </c>
      <c r="N9" s="2" t="s">
        <v>74</v>
      </c>
      <c r="O9" s="2" t="s">
        <v>79</v>
      </c>
      <c r="P9" s="6" t="s">
        <v>84</v>
      </c>
      <c r="Q9" s="2">
        <v>40</v>
      </c>
    </row>
    <row r="10" spans="2:17" x14ac:dyDescent="0.3">
      <c r="B10" s="16" t="s">
        <v>32</v>
      </c>
      <c r="C10" s="13">
        <v>4397279.13</v>
      </c>
      <c r="D10" s="14">
        <v>12152</v>
      </c>
      <c r="E10" s="14">
        <v>3.55</v>
      </c>
      <c r="F10" s="14" t="s">
        <v>33</v>
      </c>
      <c r="G10" s="14" t="s">
        <v>35</v>
      </c>
      <c r="H10" s="14">
        <v>80</v>
      </c>
      <c r="I10" s="14" t="s">
        <v>42</v>
      </c>
      <c r="J10" s="16" t="s">
        <v>32</v>
      </c>
      <c r="K10" s="14" t="s">
        <v>39</v>
      </c>
      <c r="L10" s="6">
        <v>2900</v>
      </c>
      <c r="M10" s="2">
        <v>200</v>
      </c>
      <c r="N10" s="2" t="s">
        <v>74</v>
      </c>
      <c r="O10" s="2" t="s">
        <v>80</v>
      </c>
      <c r="P10" s="6" t="s">
        <v>85</v>
      </c>
      <c r="Q10" s="2">
        <v>20</v>
      </c>
    </row>
    <row r="11" spans="2:17" x14ac:dyDescent="0.3">
      <c r="B11" s="16" t="s">
        <v>56</v>
      </c>
      <c r="C11" s="13">
        <v>4265049.78</v>
      </c>
      <c r="D11" s="14">
        <v>13876</v>
      </c>
      <c r="E11" s="14">
        <v>3.74</v>
      </c>
      <c r="F11" s="14" t="s">
        <v>63</v>
      </c>
      <c r="G11" s="14" t="s">
        <v>35</v>
      </c>
      <c r="H11" s="14">
        <v>80</v>
      </c>
      <c r="I11" s="14" t="s">
        <v>59</v>
      </c>
      <c r="J11" s="16" t="s">
        <v>56</v>
      </c>
      <c r="K11" s="14" t="s">
        <v>65</v>
      </c>
      <c r="L11" s="6" t="s">
        <v>70</v>
      </c>
      <c r="M11" s="2">
        <v>0</v>
      </c>
      <c r="N11" s="2" t="s">
        <v>75</v>
      </c>
      <c r="O11" s="2" t="s">
        <v>81</v>
      </c>
      <c r="P11" s="6" t="s">
        <v>85</v>
      </c>
      <c r="Q11" s="2">
        <v>5</v>
      </c>
    </row>
    <row r="12" spans="2:17" x14ac:dyDescent="0.3">
      <c r="B12" s="16" t="s">
        <v>0</v>
      </c>
      <c r="C12" s="13">
        <v>4359265.4000000004</v>
      </c>
      <c r="D12" s="14">
        <v>14305</v>
      </c>
      <c r="E12" s="14">
        <v>3.99</v>
      </c>
      <c r="F12" s="14" t="s">
        <v>33</v>
      </c>
      <c r="G12" s="14" t="s">
        <v>34</v>
      </c>
      <c r="H12" s="14">
        <v>90</v>
      </c>
      <c r="I12" s="14" t="s">
        <v>60</v>
      </c>
      <c r="J12" s="16" t="s">
        <v>0</v>
      </c>
      <c r="K12" s="14" t="s">
        <v>66</v>
      </c>
      <c r="L12" s="6">
        <v>2900</v>
      </c>
      <c r="M12" s="2">
        <v>0</v>
      </c>
      <c r="N12" s="2" t="s">
        <v>74</v>
      </c>
      <c r="O12" s="2" t="s">
        <v>78</v>
      </c>
      <c r="P12" s="6" t="s">
        <v>85</v>
      </c>
      <c r="Q12" s="2">
        <v>15</v>
      </c>
    </row>
    <row r="13" spans="2:17" x14ac:dyDescent="0.3">
      <c r="B13" s="16" t="s">
        <v>57</v>
      </c>
      <c r="C13" s="13">
        <v>4359265.4000000004</v>
      </c>
      <c r="D13" s="14">
        <v>14653</v>
      </c>
      <c r="E13" s="14">
        <v>4.1900000000000004</v>
      </c>
      <c r="F13" s="14" t="s">
        <v>64</v>
      </c>
      <c r="G13" s="14" t="s">
        <v>34</v>
      </c>
      <c r="H13" s="14">
        <v>90</v>
      </c>
      <c r="I13" s="14" t="s">
        <v>62</v>
      </c>
      <c r="J13" s="16" t="s">
        <v>57</v>
      </c>
      <c r="K13" s="14" t="s">
        <v>68</v>
      </c>
      <c r="L13" s="6">
        <v>4990</v>
      </c>
      <c r="M13" s="2">
        <v>0</v>
      </c>
      <c r="N13" s="2" t="s">
        <v>74</v>
      </c>
      <c r="O13" s="2" t="s">
        <v>78</v>
      </c>
      <c r="P13" s="6">
        <v>2000</v>
      </c>
      <c r="Q13" s="2">
        <v>15</v>
      </c>
    </row>
    <row r="14" spans="2:17" x14ac:dyDescent="0.3">
      <c r="B14" s="16" t="s">
        <v>58</v>
      </c>
      <c r="C14" s="13">
        <v>4551189.92</v>
      </c>
      <c r="D14" s="14">
        <v>15183</v>
      </c>
      <c r="E14" s="14">
        <v>4.49</v>
      </c>
      <c r="F14" s="14" t="s">
        <v>63</v>
      </c>
      <c r="G14" s="14" t="s">
        <v>35</v>
      </c>
      <c r="H14" s="14">
        <v>90</v>
      </c>
      <c r="I14" s="14" t="s">
        <v>61</v>
      </c>
      <c r="J14" s="16" t="s">
        <v>58</v>
      </c>
      <c r="K14" s="14" t="s">
        <v>68</v>
      </c>
      <c r="L14" s="6" t="s">
        <v>70</v>
      </c>
      <c r="M14" s="2">
        <v>0</v>
      </c>
      <c r="N14" s="2" t="s">
        <v>76</v>
      </c>
      <c r="O14" s="2" t="s">
        <v>82</v>
      </c>
      <c r="P14" s="6" t="s">
        <v>85</v>
      </c>
      <c r="Q14" s="2">
        <v>5</v>
      </c>
    </row>
    <row r="15" spans="2:17" x14ac:dyDescent="0.3">
      <c r="B15" s="16" t="s">
        <v>21</v>
      </c>
      <c r="C15" s="14" t="s">
        <v>18</v>
      </c>
      <c r="D15" s="14" t="s">
        <v>18</v>
      </c>
      <c r="E15" s="14" t="s">
        <v>18</v>
      </c>
      <c r="F15" s="14" t="s">
        <v>19</v>
      </c>
      <c r="G15" s="14" t="s">
        <v>18</v>
      </c>
      <c r="H15" s="14" t="s">
        <v>19</v>
      </c>
      <c r="I15" s="14" t="s">
        <v>18</v>
      </c>
      <c r="J15" s="16" t="s">
        <v>21</v>
      </c>
      <c r="K15" s="14" t="s">
        <v>19</v>
      </c>
      <c r="L15" s="2" t="s">
        <v>18</v>
      </c>
      <c r="M15" s="2" t="s">
        <v>18</v>
      </c>
      <c r="N15" s="2" t="s">
        <v>18</v>
      </c>
      <c r="O15" s="23" t="s">
        <v>19</v>
      </c>
      <c r="P15" s="6" t="s">
        <v>18</v>
      </c>
      <c r="Q15" s="2" t="s">
        <v>19</v>
      </c>
    </row>
    <row r="16" spans="2:17" x14ac:dyDescent="0.3">
      <c r="B16" s="16" t="s">
        <v>20</v>
      </c>
      <c r="C16" s="27">
        <v>9.9009900999999997E-2</v>
      </c>
      <c r="D16" s="27">
        <v>8.9108910999999999E-2</v>
      </c>
      <c r="E16" s="27">
        <v>9.9009900999999997E-2</v>
      </c>
      <c r="F16" s="27">
        <v>7.9207921000000001E-2</v>
      </c>
      <c r="G16" s="27">
        <v>6.9306931000000002E-2</v>
      </c>
      <c r="H16" s="27">
        <v>7.9207921000000001E-2</v>
      </c>
      <c r="I16" s="27">
        <v>6.9306931000000002E-2</v>
      </c>
      <c r="J16" s="16" t="s">
        <v>20</v>
      </c>
      <c r="K16" s="27">
        <v>5.9405940999999997E-2</v>
      </c>
      <c r="L16" s="25">
        <v>4.9504949999999999E-2</v>
      </c>
      <c r="M16" s="25">
        <v>6.9306931000000002E-2</v>
      </c>
      <c r="N16" s="25">
        <v>7.9207921000000001E-2</v>
      </c>
      <c r="O16" s="25">
        <v>4.9504949999999999E-2</v>
      </c>
      <c r="P16" s="25">
        <v>3.9603960000000001E-2</v>
      </c>
      <c r="Q16" s="2">
        <v>6.9306931000000002E-2</v>
      </c>
    </row>
    <row r="17" spans="2:17" x14ac:dyDescent="0.3">
      <c r="B17" s="16" t="s">
        <v>40</v>
      </c>
      <c r="C17" s="14">
        <f>MIN(C8:C14)</f>
        <v>4265049.78</v>
      </c>
      <c r="D17" s="15">
        <f>MIN(D8:D14)</f>
        <v>11300</v>
      </c>
      <c r="E17" s="14">
        <f>MIN(E8:E14)</f>
        <v>3.55</v>
      </c>
      <c r="F17" s="14" t="s">
        <v>63</v>
      </c>
      <c r="G17" s="14" t="s">
        <v>35</v>
      </c>
      <c r="H17" s="14">
        <f>MIN(H8:H14)</f>
        <v>80</v>
      </c>
      <c r="I17" s="14">
        <v>3.29</v>
      </c>
      <c r="J17" s="16" t="s">
        <v>40</v>
      </c>
      <c r="K17" s="14" t="s">
        <v>97</v>
      </c>
      <c r="L17" s="2" t="s">
        <v>70</v>
      </c>
      <c r="M17" s="2">
        <v>0</v>
      </c>
      <c r="N17" s="2" t="s">
        <v>74</v>
      </c>
      <c r="O17" s="28">
        <v>0.6875</v>
      </c>
      <c r="P17" s="6">
        <v>1750</v>
      </c>
      <c r="Q17" s="6">
        <v>5</v>
      </c>
    </row>
    <row r="18" spans="2:17" x14ac:dyDescent="0.3">
      <c r="B18" s="16" t="s">
        <v>41</v>
      </c>
      <c r="C18" s="14">
        <f>MAX(C8:C14)</f>
        <v>4551189.92</v>
      </c>
      <c r="D18" s="14">
        <f>MAX(D8:D14)</f>
        <v>15183</v>
      </c>
      <c r="E18" s="14">
        <f>MAX(E8:E14)</f>
        <v>4.49</v>
      </c>
      <c r="F18" s="14" t="s">
        <v>33</v>
      </c>
      <c r="G18" s="14" t="s">
        <v>34</v>
      </c>
      <c r="H18" s="14">
        <f>MAX(H8:H14)</f>
        <v>90</v>
      </c>
      <c r="I18" s="14">
        <v>4.49</v>
      </c>
      <c r="J18" s="16" t="s">
        <v>41</v>
      </c>
      <c r="K18" s="14" t="s">
        <v>43</v>
      </c>
      <c r="L18" s="6">
        <v>4990</v>
      </c>
      <c r="M18" s="2">
        <v>200</v>
      </c>
      <c r="N18" s="2" t="s">
        <v>75</v>
      </c>
      <c r="O18" s="28">
        <v>0.875</v>
      </c>
      <c r="P18" s="6">
        <v>9900</v>
      </c>
      <c r="Q18" s="6">
        <v>40</v>
      </c>
    </row>
    <row r="19" spans="2:17" x14ac:dyDescent="0.3">
      <c r="P19" s="22"/>
    </row>
    <row r="20" spans="2:17" x14ac:dyDescent="0.3">
      <c r="B20" s="37" t="s">
        <v>122</v>
      </c>
      <c r="C20">
        <v>0.06</v>
      </c>
      <c r="D20">
        <v>0.06</v>
      </c>
      <c r="E20">
        <v>0.06</v>
      </c>
      <c r="F20">
        <v>0.2</v>
      </c>
      <c r="G20">
        <v>0.03</v>
      </c>
      <c r="H20">
        <v>0.06</v>
      </c>
      <c r="I20" s="38">
        <v>0.12</v>
      </c>
      <c r="J20" s="38"/>
      <c r="K20">
        <v>0.09</v>
      </c>
      <c r="L20">
        <v>0.03</v>
      </c>
      <c r="M20" s="39">
        <v>0.03</v>
      </c>
      <c r="N20">
        <v>0.15</v>
      </c>
      <c r="O20">
        <v>0.15</v>
      </c>
      <c r="P20" s="38">
        <v>0.03</v>
      </c>
      <c r="Q20">
        <v>0.03</v>
      </c>
    </row>
    <row r="22" spans="2:17" x14ac:dyDescent="0.3">
      <c r="B22" s="17" t="s">
        <v>22</v>
      </c>
    </row>
    <row r="23" spans="2:17" x14ac:dyDescent="0.3">
      <c r="B23" s="18" t="s">
        <v>1</v>
      </c>
      <c r="C23" s="2">
        <v>8</v>
      </c>
      <c r="D23" s="2">
        <v>10</v>
      </c>
      <c r="E23" s="2">
        <v>8</v>
      </c>
      <c r="F23" s="2">
        <v>4</v>
      </c>
      <c r="G23" s="2">
        <v>8</v>
      </c>
      <c r="H23" s="2">
        <v>6</v>
      </c>
      <c r="I23" s="2">
        <v>6</v>
      </c>
      <c r="J23" s="2"/>
      <c r="K23" s="2">
        <v>5</v>
      </c>
      <c r="L23" s="2">
        <v>6</v>
      </c>
      <c r="M23" s="2">
        <v>8</v>
      </c>
      <c r="N23" s="2">
        <v>9</v>
      </c>
      <c r="O23" s="2">
        <v>5</v>
      </c>
      <c r="P23" s="2">
        <v>7</v>
      </c>
      <c r="Q23" s="2">
        <v>3</v>
      </c>
    </row>
    <row r="24" spans="2:17" x14ac:dyDescent="0.3">
      <c r="B24" s="18" t="s">
        <v>3</v>
      </c>
      <c r="C24" s="2">
        <v>7</v>
      </c>
      <c r="D24" s="2">
        <v>9</v>
      </c>
      <c r="E24" s="2">
        <v>7</v>
      </c>
      <c r="F24" s="2">
        <v>4</v>
      </c>
      <c r="G24" s="2">
        <v>5</v>
      </c>
      <c r="H24" s="2">
        <v>7</v>
      </c>
      <c r="I24" s="2">
        <v>5</v>
      </c>
      <c r="J24" s="2"/>
      <c r="K24" s="2">
        <v>6</v>
      </c>
      <c r="L24" s="2">
        <v>9</v>
      </c>
      <c r="M24" s="2">
        <v>5</v>
      </c>
      <c r="N24" s="2">
        <v>9</v>
      </c>
      <c r="O24" s="2">
        <v>4</v>
      </c>
      <c r="P24" s="2">
        <v>6</v>
      </c>
      <c r="Q24" s="2">
        <v>8</v>
      </c>
    </row>
    <row r="25" spans="2:17" x14ac:dyDescent="0.3">
      <c r="B25" s="18" t="s">
        <v>32</v>
      </c>
      <c r="C25" s="2">
        <v>10</v>
      </c>
      <c r="D25" s="2">
        <v>9</v>
      </c>
      <c r="E25" s="2">
        <v>10</v>
      </c>
      <c r="F25" s="2">
        <v>4</v>
      </c>
      <c r="G25" s="2">
        <v>5</v>
      </c>
      <c r="H25" s="2">
        <v>6</v>
      </c>
      <c r="I25" s="2">
        <v>8</v>
      </c>
      <c r="J25" s="2"/>
      <c r="K25" s="2">
        <v>6</v>
      </c>
      <c r="L25" s="2">
        <v>5</v>
      </c>
      <c r="M25" s="2">
        <v>4</v>
      </c>
      <c r="N25" s="2">
        <v>9</v>
      </c>
      <c r="O25" s="2">
        <v>3</v>
      </c>
      <c r="P25" s="2">
        <v>3</v>
      </c>
      <c r="Q25" s="2">
        <v>6</v>
      </c>
    </row>
    <row r="26" spans="2:17" x14ac:dyDescent="0.3">
      <c r="B26" s="18" t="s">
        <v>13</v>
      </c>
      <c r="C26" s="2">
        <v>9</v>
      </c>
      <c r="D26" s="2">
        <v>8</v>
      </c>
      <c r="E26" s="2">
        <v>9</v>
      </c>
      <c r="F26" s="2">
        <v>1</v>
      </c>
      <c r="G26" s="2">
        <v>5</v>
      </c>
      <c r="H26" s="2">
        <v>6</v>
      </c>
      <c r="I26" s="2">
        <v>7</v>
      </c>
      <c r="J26" s="2"/>
      <c r="K26" s="2">
        <v>3</v>
      </c>
      <c r="L26" s="2">
        <v>9</v>
      </c>
      <c r="M26" s="2">
        <v>8</v>
      </c>
      <c r="N26" s="2">
        <v>2</v>
      </c>
      <c r="O26" s="2">
        <v>7</v>
      </c>
      <c r="P26" s="2">
        <v>3</v>
      </c>
      <c r="Q26" s="2">
        <v>3</v>
      </c>
    </row>
    <row r="27" spans="2:17" x14ac:dyDescent="0.3">
      <c r="B27" s="18" t="s">
        <v>0</v>
      </c>
      <c r="C27" s="2">
        <v>8</v>
      </c>
      <c r="D27" s="2">
        <v>7</v>
      </c>
      <c r="E27" s="2">
        <v>6</v>
      </c>
      <c r="F27" s="2">
        <v>4</v>
      </c>
      <c r="G27" s="2">
        <v>8</v>
      </c>
      <c r="H27" s="2">
        <v>7</v>
      </c>
      <c r="I27" s="2">
        <v>6</v>
      </c>
      <c r="J27" s="2"/>
      <c r="K27" s="2">
        <v>4</v>
      </c>
      <c r="L27" s="2">
        <v>5</v>
      </c>
      <c r="M27" s="2">
        <v>8</v>
      </c>
      <c r="N27" s="2">
        <v>9</v>
      </c>
      <c r="O27" s="2">
        <v>5</v>
      </c>
      <c r="P27" s="2">
        <v>3</v>
      </c>
      <c r="Q27" s="2">
        <v>5</v>
      </c>
    </row>
    <row r="28" spans="2:17" x14ac:dyDescent="0.3">
      <c r="B28" s="18" t="s">
        <v>57</v>
      </c>
      <c r="C28" s="2">
        <v>5</v>
      </c>
      <c r="D28" s="2">
        <v>6</v>
      </c>
      <c r="E28" s="2">
        <v>5</v>
      </c>
      <c r="F28" s="2">
        <v>3</v>
      </c>
      <c r="G28" s="2">
        <v>8</v>
      </c>
      <c r="H28" s="2">
        <v>7</v>
      </c>
      <c r="I28" s="2">
        <v>5</v>
      </c>
      <c r="J28" s="2"/>
      <c r="K28" s="2">
        <v>3</v>
      </c>
      <c r="L28" s="2">
        <v>3</v>
      </c>
      <c r="M28" s="2">
        <v>8</v>
      </c>
      <c r="N28" s="2">
        <v>9</v>
      </c>
      <c r="O28" s="2">
        <v>5</v>
      </c>
      <c r="P28" s="2">
        <v>8</v>
      </c>
      <c r="Q28" s="2">
        <v>5</v>
      </c>
    </row>
    <row r="29" spans="2:17" x14ac:dyDescent="0.3">
      <c r="B29" s="18" t="s">
        <v>69</v>
      </c>
      <c r="C29" s="2">
        <v>6</v>
      </c>
      <c r="D29" s="2">
        <v>5</v>
      </c>
      <c r="E29" s="2">
        <v>4</v>
      </c>
      <c r="F29" s="2">
        <v>1</v>
      </c>
      <c r="G29" s="2">
        <v>5</v>
      </c>
      <c r="H29" s="2">
        <v>7</v>
      </c>
      <c r="I29" s="2">
        <v>4</v>
      </c>
      <c r="J29" s="2"/>
      <c r="K29" s="2">
        <v>4</v>
      </c>
      <c r="L29" s="2">
        <v>9</v>
      </c>
      <c r="M29" s="2">
        <v>8</v>
      </c>
      <c r="N29" s="2">
        <v>4</v>
      </c>
      <c r="O29" s="2">
        <v>6</v>
      </c>
      <c r="P29" s="2">
        <v>3</v>
      </c>
      <c r="Q29" s="2">
        <v>3</v>
      </c>
    </row>
    <row r="31" spans="2:17" x14ac:dyDescent="0.3">
      <c r="B31" s="19" t="s">
        <v>51</v>
      </c>
      <c r="C31" s="2" t="s">
        <v>53</v>
      </c>
      <c r="D31" s="20" t="s">
        <v>54</v>
      </c>
      <c r="F31" s="19" t="s">
        <v>51</v>
      </c>
      <c r="G31" s="2" t="s">
        <v>53</v>
      </c>
      <c r="H31" s="20" t="s">
        <v>54</v>
      </c>
    </row>
    <row r="32" spans="2:17" x14ac:dyDescent="0.3">
      <c r="B32" s="19" t="s">
        <v>1</v>
      </c>
      <c r="C32" s="2">
        <f>SUMPRODUCT(C23:Q23,C16:Q16)</f>
        <v>6.8316831750000002</v>
      </c>
      <c r="D32" s="21">
        <f>_xlfn.RANK.EQ(C32,C32:C38)</f>
        <v>1</v>
      </c>
      <c r="F32" s="19" t="s">
        <v>1</v>
      </c>
      <c r="G32" s="2">
        <f>SUMPRODUCT(C23:Q23,C20:Q20)</f>
        <v>6.95</v>
      </c>
      <c r="H32" s="21">
        <f>_xlfn.RANK.EQ(G32,G32:G38)</f>
        <v>1</v>
      </c>
    </row>
    <row r="33" spans="2:8" x14ac:dyDescent="0.3">
      <c r="B33" s="19" t="s">
        <v>3</v>
      </c>
      <c r="C33" s="2">
        <f>SUMPRODUCT(C24:Q24,C16:Q16)</f>
        <v>6.6039604019999993</v>
      </c>
      <c r="D33" s="21">
        <f>_xlfn.RANK.EQ(C33,C32:C38)</f>
        <v>3</v>
      </c>
      <c r="F33" s="19" t="s">
        <v>3</v>
      </c>
      <c r="G33" s="2">
        <f>SUMPRODUCT(C24:Q24,C20:Q20)</f>
        <v>6.68</v>
      </c>
      <c r="H33" s="21">
        <f>_xlfn.RANK.EQ(G33,G32:G38)</f>
        <v>3</v>
      </c>
    </row>
    <row r="34" spans="2:8" x14ac:dyDescent="0.3">
      <c r="B34" s="19" t="s">
        <v>52</v>
      </c>
      <c r="C34" s="2">
        <f>SUMPRODUCT(C25:Q25,C16:Q16)</f>
        <v>6.7524752570000004</v>
      </c>
      <c r="D34" s="21">
        <f>_xlfn.RANK.EQ(C34,C32:C38)</f>
        <v>2</v>
      </c>
      <c r="F34" s="19" t="s">
        <v>52</v>
      </c>
      <c r="G34" s="2">
        <f>SUMPRODUCT(C25:Q25,C20:Q20)</f>
        <v>6.89</v>
      </c>
      <c r="H34" s="21">
        <f>_xlfn.RANK.EQ(G34,G32:G38)</f>
        <v>2</v>
      </c>
    </row>
    <row r="35" spans="2:8" x14ac:dyDescent="0.3">
      <c r="B35" s="19" t="s">
        <v>56</v>
      </c>
      <c r="C35" s="2">
        <f>SUMPRODUCT(C16:Q16,C26:Q26)</f>
        <v>5.8910891109999994</v>
      </c>
      <c r="D35" s="21">
        <f>_xlfn.RANK.EQ(C35,C32:C38)</f>
        <v>5</v>
      </c>
      <c r="F35" s="19" t="s">
        <v>56</v>
      </c>
      <c r="G35" s="2">
        <f>SUMPRODUCT(C26:Q26,C20:Q20)</f>
        <v>5.419999999999999</v>
      </c>
      <c r="H35" s="21">
        <f>_xlfn.RANK.EQ(G35,G32:G38)</f>
        <v>6</v>
      </c>
    </row>
    <row r="36" spans="2:8" x14ac:dyDescent="0.3">
      <c r="B36" s="19" t="s">
        <v>0</v>
      </c>
      <c r="C36" s="2">
        <f>SUMPRODUCT(C16:Q16,C27:Q27)</f>
        <v>6.3168316920000001</v>
      </c>
      <c r="D36" s="21">
        <f>_xlfn.RANK.EQ(C36,C32:C38)</f>
        <v>4</v>
      </c>
      <c r="F36" s="19" t="s">
        <v>0</v>
      </c>
      <c r="G36" s="2">
        <f>SUMPRODUCT(C27:Q27,C20:Q20)</f>
        <v>6.5299999999999994</v>
      </c>
      <c r="H36" s="21">
        <f>_xlfn.RANK.EQ(G36,G32:G38)</f>
        <v>4</v>
      </c>
    </row>
    <row r="37" spans="2:8" x14ac:dyDescent="0.3">
      <c r="B37" s="19" t="s">
        <v>57</v>
      </c>
      <c r="C37" s="2">
        <f>SUMPRODUCT(C16:Q16,C28:Q28)</f>
        <v>5.7227722840000004</v>
      </c>
      <c r="D37" s="21">
        <f>_xlfn.RANK.EQ(C37,C32:C38)</f>
        <v>6</v>
      </c>
      <c r="F37" s="19" t="s">
        <v>57</v>
      </c>
      <c r="G37" s="2">
        <f>SUMPRODUCT(C28:Q28,C20:Q20)</f>
        <v>5.91</v>
      </c>
      <c r="H37" s="21">
        <f>_xlfn.RANK.EQ(G37,G32:G38)</f>
        <v>5</v>
      </c>
    </row>
    <row r="38" spans="2:8" x14ac:dyDescent="0.3">
      <c r="B38" s="19" t="s">
        <v>98</v>
      </c>
      <c r="C38" s="2">
        <f>SUMPRODUCT(C16:Q16,C29:Q29)</f>
        <v>4.8712871310000008</v>
      </c>
      <c r="D38" s="21">
        <f>_xlfn.RANK.EQ(C38,C32:C38)</f>
        <v>7</v>
      </c>
      <c r="F38" s="19" t="s">
        <v>98</v>
      </c>
      <c r="G38" s="2">
        <f>SUMPRODUCT(C29:Q29,C20:Q20)</f>
        <v>4.6999999999999993</v>
      </c>
      <c r="H38" s="21">
        <f>_xlfn.RANK.EQ(G38,G32:G38)</f>
        <v>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925F-5EB7-4772-A109-FADCB4C12EEF}">
  <dimension ref="B2:J14"/>
  <sheetViews>
    <sheetView topLeftCell="B1" workbookViewId="0">
      <selection activeCell="B2" sqref="B2:C3"/>
    </sheetView>
  </sheetViews>
  <sheetFormatPr defaultRowHeight="14.4" x14ac:dyDescent="0.3"/>
  <cols>
    <col min="3" max="3" width="27.6640625" bestFit="1" customWidth="1"/>
    <col min="4" max="4" width="63.5546875" bestFit="1" customWidth="1"/>
    <col min="5" max="5" width="11.77734375" customWidth="1"/>
    <col min="6" max="6" width="32.21875" bestFit="1" customWidth="1"/>
    <col min="7" max="7" width="11.77734375" customWidth="1"/>
    <col min="8" max="8" width="21.6640625" bestFit="1" customWidth="1"/>
    <col min="9" max="9" width="9.44140625" customWidth="1"/>
    <col min="10" max="10" width="19.109375" bestFit="1" customWidth="1"/>
  </cols>
  <sheetData>
    <row r="2" spans="2:10" ht="23.4" x14ac:dyDescent="0.45">
      <c r="B2" s="48" t="s">
        <v>129</v>
      </c>
      <c r="D2" s="49" t="s">
        <v>134</v>
      </c>
      <c r="F2" s="44"/>
      <c r="G2" s="44"/>
      <c r="H2" s="45"/>
      <c r="I2" s="33"/>
    </row>
    <row r="3" spans="2:10" ht="21" x14ac:dyDescent="0.4">
      <c r="B3" s="48" t="s">
        <v>130</v>
      </c>
    </row>
    <row r="5" spans="2:10" ht="15.6" x14ac:dyDescent="0.3">
      <c r="D5" s="43" t="s">
        <v>115</v>
      </c>
      <c r="E5" s="43"/>
      <c r="H5" s="29" t="s">
        <v>114</v>
      </c>
      <c r="I5" s="4"/>
      <c r="J5" s="30" t="s">
        <v>113</v>
      </c>
    </row>
    <row r="6" spans="2:10" x14ac:dyDescent="0.3">
      <c r="G6" s="34">
        <v>0.1</v>
      </c>
      <c r="H6" t="s">
        <v>101</v>
      </c>
      <c r="I6" s="34">
        <v>0.2</v>
      </c>
      <c r="J6" t="s">
        <v>100</v>
      </c>
    </row>
    <row r="7" spans="2:10" x14ac:dyDescent="0.3">
      <c r="G7" s="34">
        <v>0.1</v>
      </c>
      <c r="H7" t="s">
        <v>102</v>
      </c>
    </row>
    <row r="8" spans="2:10" ht="15.6" x14ac:dyDescent="0.3">
      <c r="C8" s="31" t="s">
        <v>117</v>
      </c>
      <c r="F8" s="32" t="s">
        <v>116</v>
      </c>
      <c r="G8" s="4"/>
    </row>
    <row r="9" spans="2:10" x14ac:dyDescent="0.3">
      <c r="B9" s="35">
        <v>0.04</v>
      </c>
      <c r="C9" t="s">
        <v>106</v>
      </c>
      <c r="E9" s="35">
        <v>7.0000000000000007E-2</v>
      </c>
      <c r="F9" t="s">
        <v>103</v>
      </c>
    </row>
    <row r="10" spans="2:10" x14ac:dyDescent="0.3">
      <c r="B10" s="35">
        <v>0.09</v>
      </c>
      <c r="C10" t="s">
        <v>107</v>
      </c>
      <c r="E10" s="35">
        <v>7.0000000000000007E-2</v>
      </c>
      <c r="F10" t="s">
        <v>104</v>
      </c>
    </row>
    <row r="11" spans="2:10" x14ac:dyDescent="0.3">
      <c r="B11" s="35">
        <v>0.09</v>
      </c>
      <c r="C11" t="s">
        <v>108</v>
      </c>
      <c r="E11" s="35">
        <v>7.0000000000000007E-2</v>
      </c>
      <c r="F11" t="s">
        <v>105</v>
      </c>
    </row>
    <row r="12" spans="2:10" x14ac:dyDescent="0.3">
      <c r="B12" s="35">
        <v>0.04</v>
      </c>
      <c r="C12" t="s">
        <v>109</v>
      </c>
      <c r="E12" s="35">
        <v>0.04</v>
      </c>
      <c r="F12" t="s">
        <v>25</v>
      </c>
    </row>
    <row r="13" spans="2:10" x14ac:dyDescent="0.3">
      <c r="B13" s="35">
        <v>0.04</v>
      </c>
      <c r="C13" t="s">
        <v>112</v>
      </c>
      <c r="E13" s="35">
        <v>0.01</v>
      </c>
      <c r="F13" t="s">
        <v>110</v>
      </c>
    </row>
    <row r="14" spans="2:10" x14ac:dyDescent="0.3">
      <c r="E14" s="35">
        <v>0.04</v>
      </c>
      <c r="F14" t="s">
        <v>111</v>
      </c>
    </row>
  </sheetData>
  <mergeCells count="2">
    <mergeCell ref="D5:E5"/>
    <mergeCell ref="F2:H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4228-DA9F-459C-AFFB-EFB246DFE718}">
  <dimension ref="A1:D18"/>
  <sheetViews>
    <sheetView workbookViewId="0">
      <selection activeCell="D1" sqref="D1"/>
    </sheetView>
  </sheetViews>
  <sheetFormatPr defaultRowHeight="14.4" x14ac:dyDescent="0.3"/>
  <cols>
    <col min="3" max="3" width="32.21875" bestFit="1" customWidth="1"/>
    <col min="4" max="4" width="37.77734375" bestFit="1" customWidth="1"/>
    <col min="6" max="6" width="32.21875" bestFit="1" customWidth="1"/>
  </cols>
  <sheetData>
    <row r="1" spans="1:4" ht="21" x14ac:dyDescent="0.4">
      <c r="A1" s="48" t="s">
        <v>129</v>
      </c>
      <c r="D1" s="49" t="s">
        <v>139</v>
      </c>
    </row>
    <row r="2" spans="1:4" ht="21" x14ac:dyDescent="0.4">
      <c r="A2" s="48" t="s">
        <v>130</v>
      </c>
    </row>
    <row r="4" spans="1:4" x14ac:dyDescent="0.3">
      <c r="C4" t="s">
        <v>118</v>
      </c>
      <c r="D4" t="s">
        <v>133</v>
      </c>
    </row>
    <row r="5" spans="1:4" x14ac:dyDescent="0.3">
      <c r="C5" t="s">
        <v>106</v>
      </c>
      <c r="D5">
        <f>0.1* 0.5* 0.6</f>
        <v>0.03</v>
      </c>
    </row>
    <row r="6" spans="1:4" x14ac:dyDescent="0.3">
      <c r="C6" t="s">
        <v>119</v>
      </c>
      <c r="D6">
        <f>0.3* 0.5* 0.6</f>
        <v>0.09</v>
      </c>
    </row>
    <row r="7" spans="1:4" x14ac:dyDescent="0.3">
      <c r="C7" t="s">
        <v>120</v>
      </c>
      <c r="D7">
        <f>0.4* 0.5* 0.6</f>
        <v>0.12</v>
      </c>
    </row>
    <row r="8" spans="1:4" x14ac:dyDescent="0.3">
      <c r="C8" t="s">
        <v>109</v>
      </c>
      <c r="D8" s="36">
        <f>0.1* 0.5* 0.6</f>
        <v>0.03</v>
      </c>
    </row>
    <row r="9" spans="1:4" x14ac:dyDescent="0.3">
      <c r="C9" t="s">
        <v>112</v>
      </c>
      <c r="D9">
        <f>0.1* 0.5* 0.6</f>
        <v>0.03</v>
      </c>
    </row>
    <row r="10" spans="1:4" x14ac:dyDescent="0.3">
      <c r="C10" t="s">
        <v>103</v>
      </c>
      <c r="D10">
        <f>0.2* 0.5* 0.6</f>
        <v>0.06</v>
      </c>
    </row>
    <row r="11" spans="1:4" x14ac:dyDescent="0.3">
      <c r="C11" t="s">
        <v>104</v>
      </c>
      <c r="D11">
        <f>0.2* 0.5* 0.6</f>
        <v>0.06</v>
      </c>
    </row>
    <row r="12" spans="1:4" x14ac:dyDescent="0.3">
      <c r="C12" t="s">
        <v>105</v>
      </c>
      <c r="D12">
        <f>0.2* 0.5* 0.6</f>
        <v>0.06</v>
      </c>
    </row>
    <row r="13" spans="1:4" x14ac:dyDescent="0.3">
      <c r="C13" t="s">
        <v>25</v>
      </c>
      <c r="D13">
        <f>0.2* 0.5* 0.6</f>
        <v>0.06</v>
      </c>
    </row>
    <row r="14" spans="1:4" x14ac:dyDescent="0.3">
      <c r="C14" t="s">
        <v>110</v>
      </c>
      <c r="D14">
        <f>0.1* 0.5* 0.6</f>
        <v>0.03</v>
      </c>
    </row>
    <row r="15" spans="1:4" x14ac:dyDescent="0.3">
      <c r="C15" t="s">
        <v>121</v>
      </c>
      <c r="D15">
        <f>0.1* 0.5* 0.6</f>
        <v>0.03</v>
      </c>
    </row>
    <row r="16" spans="1:4" x14ac:dyDescent="0.3">
      <c r="C16" t="s">
        <v>101</v>
      </c>
      <c r="D16">
        <f>0.3* 0.5</f>
        <v>0.15</v>
      </c>
    </row>
    <row r="17" spans="3:4" x14ac:dyDescent="0.3">
      <c r="C17" t="s">
        <v>102</v>
      </c>
      <c r="D17">
        <f>0.5* 0.3</f>
        <v>0.15</v>
      </c>
    </row>
    <row r="18" spans="3:4" x14ac:dyDescent="0.3">
      <c r="C18" t="s">
        <v>100</v>
      </c>
      <c r="D18">
        <f>1* 0.2</f>
        <v>0.2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D77C-FB15-4094-B6C2-49F77C4CE05B}">
  <dimension ref="A2:O56"/>
  <sheetViews>
    <sheetView zoomScale="54" zoomScaleNormal="54" workbookViewId="0">
      <selection activeCell="B2" sqref="B2"/>
    </sheetView>
  </sheetViews>
  <sheetFormatPr defaultRowHeight="14.4" x14ac:dyDescent="0.3"/>
  <cols>
    <col min="1" max="1" width="43.109375" bestFit="1" customWidth="1"/>
    <col min="2" max="2" width="60.33203125" customWidth="1"/>
    <col min="3" max="3" width="17.5546875" bestFit="1" customWidth="1"/>
    <col min="4" max="4" width="20.5546875" bestFit="1" customWidth="1"/>
    <col min="5" max="5" width="36.5546875" bestFit="1" customWidth="1"/>
    <col min="6" max="6" width="36" bestFit="1" customWidth="1"/>
    <col min="7" max="7" width="7" bestFit="1" customWidth="1"/>
    <col min="8" max="8" width="39.44140625" bestFit="1" customWidth="1"/>
    <col min="9" max="9" width="44.109375" bestFit="1" customWidth="1"/>
    <col min="10" max="10" width="38.5546875" bestFit="1" customWidth="1"/>
    <col min="11" max="11" width="28.77734375" bestFit="1" customWidth="1"/>
    <col min="12" max="12" width="35.109375" bestFit="1" customWidth="1"/>
    <col min="13" max="13" width="28.77734375" bestFit="1" customWidth="1"/>
    <col min="14" max="14" width="25.33203125" bestFit="1" customWidth="1"/>
    <col min="15" max="15" width="38" bestFit="1" customWidth="1"/>
  </cols>
  <sheetData>
    <row r="2" spans="1:4" ht="21" x14ac:dyDescent="0.4">
      <c r="A2" s="48" t="s">
        <v>129</v>
      </c>
      <c r="B2" s="49" t="s">
        <v>135</v>
      </c>
    </row>
    <row r="3" spans="1:4" ht="21" x14ac:dyDescent="0.4">
      <c r="A3" s="48" t="s">
        <v>130</v>
      </c>
    </row>
    <row r="6" spans="1:4" x14ac:dyDescent="0.3">
      <c r="A6" s="5" t="s">
        <v>5</v>
      </c>
      <c r="B6" s="5" t="s">
        <v>9</v>
      </c>
      <c r="C6" s="5" t="s">
        <v>10</v>
      </c>
      <c r="D6" s="5" t="s">
        <v>11</v>
      </c>
    </row>
    <row r="7" spans="1:4" x14ac:dyDescent="0.3">
      <c r="A7" s="5" t="s">
        <v>6</v>
      </c>
      <c r="B7" s="2">
        <v>1</v>
      </c>
      <c r="C7" s="2">
        <v>10</v>
      </c>
      <c r="D7" s="24">
        <f>C7/C21</f>
        <v>0.11235955056179775</v>
      </c>
    </row>
    <row r="8" spans="1:4" x14ac:dyDescent="0.3">
      <c r="A8" s="5" t="s">
        <v>7</v>
      </c>
      <c r="B8" s="2">
        <v>2</v>
      </c>
      <c r="C8" s="2">
        <v>10</v>
      </c>
      <c r="D8" s="24">
        <f>C8/C21</f>
        <v>0.11235955056179775</v>
      </c>
    </row>
    <row r="9" spans="1:4" x14ac:dyDescent="0.3">
      <c r="A9" s="5" t="s">
        <v>8</v>
      </c>
      <c r="B9" s="2">
        <v>3</v>
      </c>
      <c r="C9" s="2">
        <v>10</v>
      </c>
      <c r="D9" s="24">
        <f>C9/C21</f>
        <v>0.11235955056179775</v>
      </c>
    </row>
    <row r="10" spans="1:4" x14ac:dyDescent="0.3">
      <c r="A10" s="5" t="s">
        <v>23</v>
      </c>
      <c r="B10" s="2">
        <v>4</v>
      </c>
      <c r="C10" s="2">
        <v>5</v>
      </c>
      <c r="D10" s="24">
        <f>C10/C21</f>
        <v>5.6179775280898875E-2</v>
      </c>
    </row>
    <row r="11" spans="1:4" x14ac:dyDescent="0.3">
      <c r="A11" s="5" t="s">
        <v>24</v>
      </c>
      <c r="B11" s="2">
        <v>5</v>
      </c>
      <c r="C11" s="2">
        <v>6</v>
      </c>
      <c r="D11" s="24">
        <f>C11/C21</f>
        <v>6.741573033707865E-2</v>
      </c>
    </row>
    <row r="12" spans="1:4" x14ac:dyDescent="0.3">
      <c r="A12" s="5" t="s">
        <v>25</v>
      </c>
      <c r="B12" s="2">
        <v>6</v>
      </c>
      <c r="C12" s="2">
        <v>8</v>
      </c>
      <c r="D12" s="24">
        <f>C12/C21</f>
        <v>8.98876404494382E-2</v>
      </c>
    </row>
    <row r="13" spans="1:4" x14ac:dyDescent="0.3">
      <c r="A13" s="5" t="s">
        <v>26</v>
      </c>
      <c r="B13" s="2">
        <v>7</v>
      </c>
      <c r="C13" s="2">
        <v>7</v>
      </c>
      <c r="D13" s="24">
        <f>C13/C21</f>
        <v>7.8651685393258425E-2</v>
      </c>
    </row>
    <row r="14" spans="1:4" x14ac:dyDescent="0.3">
      <c r="A14" s="5" t="s">
        <v>27</v>
      </c>
      <c r="B14" s="2">
        <v>8</v>
      </c>
      <c r="C14" s="2">
        <v>5</v>
      </c>
      <c r="D14" s="24">
        <f>C14/C21</f>
        <v>5.6179775280898875E-2</v>
      </c>
    </row>
    <row r="15" spans="1:4" x14ac:dyDescent="0.3">
      <c r="A15" s="5" t="s">
        <v>87</v>
      </c>
      <c r="B15" s="2">
        <v>9</v>
      </c>
      <c r="C15" s="2">
        <v>4</v>
      </c>
      <c r="D15" s="24">
        <f>C15/C21</f>
        <v>4.49438202247191E-2</v>
      </c>
    </row>
    <row r="16" spans="1:4" x14ac:dyDescent="0.3">
      <c r="A16" s="5" t="s">
        <v>88</v>
      </c>
      <c r="B16" s="2">
        <v>10</v>
      </c>
      <c r="C16" s="2">
        <v>4</v>
      </c>
      <c r="D16" s="24">
        <f>C16/C21</f>
        <v>4.49438202247191E-2</v>
      </c>
    </row>
    <row r="17" spans="1:15" x14ac:dyDescent="0.3">
      <c r="A17" s="5" t="s">
        <v>89</v>
      </c>
      <c r="B17" s="2">
        <v>11</v>
      </c>
      <c r="C17" s="2">
        <v>5</v>
      </c>
      <c r="D17" s="24">
        <f>C17/C21</f>
        <v>5.6179775280898875E-2</v>
      </c>
    </row>
    <row r="18" spans="1:15" x14ac:dyDescent="0.3">
      <c r="A18" s="5" t="s">
        <v>90</v>
      </c>
      <c r="B18" s="2">
        <v>12</v>
      </c>
      <c r="C18" s="2">
        <v>5</v>
      </c>
      <c r="D18" s="24">
        <f>C18/C21</f>
        <v>5.6179775280898875E-2</v>
      </c>
    </row>
    <row r="19" spans="1:15" x14ac:dyDescent="0.3">
      <c r="A19" s="5" t="s">
        <v>91</v>
      </c>
      <c r="B19" s="2">
        <v>13</v>
      </c>
      <c r="C19" s="2">
        <v>3</v>
      </c>
      <c r="D19" s="24">
        <f>C19/C21</f>
        <v>3.3707865168539325E-2</v>
      </c>
    </row>
    <row r="20" spans="1:15" x14ac:dyDescent="0.3">
      <c r="A20" s="5" t="s">
        <v>92</v>
      </c>
      <c r="B20" s="2">
        <v>14</v>
      </c>
      <c r="C20" s="2">
        <v>7</v>
      </c>
      <c r="D20" s="24">
        <f>C20/C21</f>
        <v>7.8651685393258425E-2</v>
      </c>
    </row>
    <row r="21" spans="1:15" x14ac:dyDescent="0.3">
      <c r="A21" s="5" t="s">
        <v>12</v>
      </c>
      <c r="B21" s="2"/>
      <c r="C21" s="2">
        <f>SUM(C7:C20)</f>
        <v>89</v>
      </c>
      <c r="D21" s="25"/>
    </row>
    <row r="25" spans="1:15" x14ac:dyDescent="0.3">
      <c r="A25" s="14"/>
      <c r="B25" s="16" t="s">
        <v>44</v>
      </c>
      <c r="C25" s="16" t="s">
        <v>45</v>
      </c>
      <c r="D25" s="16" t="s">
        <v>46</v>
      </c>
      <c r="E25" s="16" t="s">
        <v>47</v>
      </c>
      <c r="F25" s="16" t="s">
        <v>48</v>
      </c>
      <c r="G25" s="16" t="s">
        <v>31</v>
      </c>
      <c r="H25" s="16" t="s">
        <v>49</v>
      </c>
      <c r="I25" s="16" t="s">
        <v>50</v>
      </c>
      <c r="J25" s="16" t="s">
        <v>72</v>
      </c>
      <c r="K25" s="16" t="s">
        <v>71</v>
      </c>
      <c r="L25" s="16" t="s">
        <v>73</v>
      </c>
      <c r="M25" s="16" t="s">
        <v>77</v>
      </c>
      <c r="N25" s="16" t="s">
        <v>99</v>
      </c>
      <c r="O25" s="16" t="s">
        <v>86</v>
      </c>
    </row>
    <row r="26" spans="1:15" x14ac:dyDescent="0.3">
      <c r="A26" s="16" t="s">
        <v>1</v>
      </c>
      <c r="B26" s="13">
        <v>4359265.4000000004</v>
      </c>
      <c r="C26" s="14">
        <v>11300</v>
      </c>
      <c r="D26" s="14">
        <v>3.99</v>
      </c>
      <c r="E26" s="14" t="s">
        <v>33</v>
      </c>
      <c r="F26" s="14" t="s">
        <v>34</v>
      </c>
      <c r="G26" s="14">
        <v>80</v>
      </c>
      <c r="H26" s="14" t="s">
        <v>36</v>
      </c>
      <c r="I26" s="14" t="s">
        <v>38</v>
      </c>
      <c r="J26" s="6">
        <v>2400</v>
      </c>
      <c r="K26" s="2">
        <v>0</v>
      </c>
      <c r="L26" s="2" t="s">
        <v>74</v>
      </c>
      <c r="M26" s="2" t="s">
        <v>78</v>
      </c>
      <c r="N26" s="6" t="s">
        <v>83</v>
      </c>
      <c r="O26" s="2">
        <v>5</v>
      </c>
    </row>
    <row r="27" spans="1:15" x14ac:dyDescent="0.3">
      <c r="A27" s="16" t="s">
        <v>3</v>
      </c>
      <c r="B27" s="13">
        <v>4397279.13</v>
      </c>
      <c r="C27" s="14">
        <v>12152</v>
      </c>
      <c r="D27" s="14">
        <v>4.09</v>
      </c>
      <c r="E27" s="14" t="s">
        <v>33</v>
      </c>
      <c r="F27" s="14" t="s">
        <v>35</v>
      </c>
      <c r="G27" s="14">
        <v>90</v>
      </c>
      <c r="H27" s="14" t="s">
        <v>37</v>
      </c>
      <c r="I27" s="14" t="s">
        <v>67</v>
      </c>
      <c r="J27" s="6" t="s">
        <v>70</v>
      </c>
      <c r="K27" s="2">
        <v>150</v>
      </c>
      <c r="L27" s="2" t="s">
        <v>74</v>
      </c>
      <c r="M27" s="2" t="s">
        <v>79</v>
      </c>
      <c r="N27" s="6" t="s">
        <v>84</v>
      </c>
      <c r="O27" s="2">
        <v>40</v>
      </c>
    </row>
    <row r="28" spans="1:15" x14ac:dyDescent="0.3">
      <c r="A28" s="16" t="s">
        <v>32</v>
      </c>
      <c r="B28" s="13">
        <v>4397279.13</v>
      </c>
      <c r="C28" s="14">
        <v>12152</v>
      </c>
      <c r="D28" s="14">
        <v>3.55</v>
      </c>
      <c r="E28" s="14" t="s">
        <v>33</v>
      </c>
      <c r="F28" s="14" t="s">
        <v>35</v>
      </c>
      <c r="G28" s="14">
        <v>80</v>
      </c>
      <c r="H28" s="14" t="s">
        <v>42</v>
      </c>
      <c r="I28" s="14" t="s">
        <v>39</v>
      </c>
      <c r="J28" s="6">
        <v>2900</v>
      </c>
      <c r="K28" s="2">
        <v>200</v>
      </c>
      <c r="L28" s="2" t="s">
        <v>74</v>
      </c>
      <c r="M28" s="2" t="s">
        <v>80</v>
      </c>
      <c r="N28" s="6" t="s">
        <v>85</v>
      </c>
      <c r="O28" s="2">
        <v>20</v>
      </c>
    </row>
    <row r="29" spans="1:15" x14ac:dyDescent="0.3">
      <c r="A29" s="16" t="s">
        <v>56</v>
      </c>
      <c r="B29" s="13">
        <v>4265049.78</v>
      </c>
      <c r="C29" s="14">
        <v>13876</v>
      </c>
      <c r="D29" s="14">
        <v>3.74</v>
      </c>
      <c r="E29" s="14" t="s">
        <v>63</v>
      </c>
      <c r="F29" s="14" t="s">
        <v>35</v>
      </c>
      <c r="G29" s="14">
        <v>80</v>
      </c>
      <c r="H29" s="14" t="s">
        <v>59</v>
      </c>
      <c r="I29" s="14" t="s">
        <v>65</v>
      </c>
      <c r="J29" s="6" t="s">
        <v>70</v>
      </c>
      <c r="K29" s="2">
        <v>0</v>
      </c>
      <c r="L29" s="2" t="s">
        <v>75</v>
      </c>
      <c r="M29" s="2" t="s">
        <v>81</v>
      </c>
      <c r="N29" s="6" t="s">
        <v>85</v>
      </c>
      <c r="O29" s="2">
        <v>5</v>
      </c>
    </row>
    <row r="30" spans="1:15" x14ac:dyDescent="0.3">
      <c r="A30" s="16" t="s">
        <v>0</v>
      </c>
      <c r="B30" s="13">
        <v>4359265.4000000004</v>
      </c>
      <c r="C30" s="14">
        <v>14305</v>
      </c>
      <c r="D30" s="14">
        <v>3.99</v>
      </c>
      <c r="E30" s="14" t="s">
        <v>33</v>
      </c>
      <c r="F30" s="14" t="s">
        <v>34</v>
      </c>
      <c r="G30" s="14">
        <v>90</v>
      </c>
      <c r="H30" s="14" t="s">
        <v>60</v>
      </c>
      <c r="I30" s="14" t="s">
        <v>66</v>
      </c>
      <c r="J30" s="6">
        <v>2900</v>
      </c>
      <c r="K30" s="2">
        <v>0</v>
      </c>
      <c r="L30" s="2" t="s">
        <v>74</v>
      </c>
      <c r="M30" s="2" t="s">
        <v>78</v>
      </c>
      <c r="N30" s="6" t="s">
        <v>85</v>
      </c>
      <c r="O30" s="2">
        <v>15</v>
      </c>
    </row>
    <row r="31" spans="1:15" x14ac:dyDescent="0.3">
      <c r="A31" s="16" t="s">
        <v>57</v>
      </c>
      <c r="B31" s="13">
        <v>4359265.4000000004</v>
      </c>
      <c r="C31" s="14">
        <v>14653</v>
      </c>
      <c r="D31" s="14">
        <v>4.1900000000000004</v>
      </c>
      <c r="E31" s="14" t="s">
        <v>64</v>
      </c>
      <c r="F31" s="14" t="s">
        <v>34</v>
      </c>
      <c r="G31" s="14">
        <v>90</v>
      </c>
      <c r="H31" s="14" t="s">
        <v>62</v>
      </c>
      <c r="I31" s="14" t="s">
        <v>68</v>
      </c>
      <c r="J31" s="6">
        <v>4990</v>
      </c>
      <c r="K31" s="2">
        <v>0</v>
      </c>
      <c r="L31" s="2" t="s">
        <v>74</v>
      </c>
      <c r="M31" s="2" t="s">
        <v>78</v>
      </c>
      <c r="N31" s="6">
        <v>2000</v>
      </c>
      <c r="O31" s="2">
        <v>15</v>
      </c>
    </row>
    <row r="32" spans="1:15" x14ac:dyDescent="0.3">
      <c r="A32" s="16" t="s">
        <v>58</v>
      </c>
      <c r="B32" s="13">
        <v>4551189.92</v>
      </c>
      <c r="C32" s="14">
        <v>15183</v>
      </c>
      <c r="D32" s="14">
        <v>4.49</v>
      </c>
      <c r="E32" s="14" t="s">
        <v>63</v>
      </c>
      <c r="F32" s="14" t="s">
        <v>35</v>
      </c>
      <c r="G32" s="14">
        <v>90</v>
      </c>
      <c r="H32" s="14" t="s">
        <v>61</v>
      </c>
      <c r="I32" s="14" t="s">
        <v>68</v>
      </c>
      <c r="J32" s="6" t="s">
        <v>70</v>
      </c>
      <c r="K32" s="2">
        <v>0</v>
      </c>
      <c r="L32" s="2" t="s">
        <v>76</v>
      </c>
      <c r="M32" s="2" t="s">
        <v>82</v>
      </c>
      <c r="N32" s="6" t="s">
        <v>85</v>
      </c>
      <c r="O32" s="2">
        <v>5</v>
      </c>
    </row>
    <row r="33" spans="1:15" x14ac:dyDescent="0.3">
      <c r="A33" s="16" t="s">
        <v>21</v>
      </c>
      <c r="B33" s="14" t="s">
        <v>18</v>
      </c>
      <c r="C33" s="14" t="s">
        <v>18</v>
      </c>
      <c r="D33" s="14" t="s">
        <v>18</v>
      </c>
      <c r="E33" s="14" t="s">
        <v>19</v>
      </c>
      <c r="F33" s="14" t="s">
        <v>18</v>
      </c>
      <c r="G33" s="14" t="s">
        <v>19</v>
      </c>
      <c r="H33" s="14" t="s">
        <v>18</v>
      </c>
      <c r="I33" s="14" t="s">
        <v>19</v>
      </c>
      <c r="J33" s="2" t="s">
        <v>18</v>
      </c>
      <c r="K33" s="2" t="s">
        <v>18</v>
      </c>
      <c r="L33" s="2" t="s">
        <v>18</v>
      </c>
      <c r="M33" s="23" t="s">
        <v>19</v>
      </c>
      <c r="N33" s="6" t="s">
        <v>18</v>
      </c>
      <c r="O33" s="2" t="s">
        <v>19</v>
      </c>
    </row>
    <row r="34" spans="1:15" x14ac:dyDescent="0.3">
      <c r="A34" s="16" t="s">
        <v>20</v>
      </c>
      <c r="B34" s="27">
        <f>C7/C21</f>
        <v>0.11235955056179775</v>
      </c>
      <c r="C34" s="27">
        <f>C8/C21</f>
        <v>0.11235955056179775</v>
      </c>
      <c r="D34" s="27">
        <f>C9/C21</f>
        <v>0.11235955056179775</v>
      </c>
      <c r="E34" s="27">
        <f>C11/C21</f>
        <v>6.741573033707865E-2</v>
      </c>
      <c r="F34" s="27">
        <f>C11/C21</f>
        <v>6.741573033707865E-2</v>
      </c>
      <c r="G34" s="27">
        <f>C12/C21</f>
        <v>8.98876404494382E-2</v>
      </c>
      <c r="H34" s="27">
        <f>C13/C21</f>
        <v>7.8651685393258425E-2</v>
      </c>
      <c r="I34" s="27">
        <f>C14/C21</f>
        <v>5.6179775280898875E-2</v>
      </c>
      <c r="J34" s="25">
        <f>C15/C21</f>
        <v>4.49438202247191E-2</v>
      </c>
      <c r="K34" s="25">
        <f>C16/C21</f>
        <v>4.49438202247191E-2</v>
      </c>
      <c r="L34" s="25">
        <f>C17/C21</f>
        <v>5.6179775280898875E-2</v>
      </c>
      <c r="M34" s="25">
        <f>C18/C21</f>
        <v>5.6179775280898875E-2</v>
      </c>
      <c r="N34" s="25">
        <f>C19/C21</f>
        <v>3.3707865168539325E-2</v>
      </c>
      <c r="O34" s="2">
        <f>C20/C21</f>
        <v>7.8651685393258425E-2</v>
      </c>
    </row>
    <row r="35" spans="1:15" x14ac:dyDescent="0.3">
      <c r="A35" s="16" t="s">
        <v>40</v>
      </c>
      <c r="B35" s="14">
        <f>MIN(B26:B32)</f>
        <v>4265049.78</v>
      </c>
      <c r="C35" s="15">
        <f>MIN(C26:C32)</f>
        <v>11300</v>
      </c>
      <c r="D35" s="14">
        <f>MIN(D26:D32)</f>
        <v>3.55</v>
      </c>
      <c r="E35" s="14" t="s">
        <v>63</v>
      </c>
      <c r="F35" s="14" t="s">
        <v>35</v>
      </c>
      <c r="G35" s="14">
        <f>MIN(G26:G32)</f>
        <v>80</v>
      </c>
      <c r="H35" s="14">
        <v>3.29</v>
      </c>
      <c r="I35" s="14" t="s">
        <v>97</v>
      </c>
      <c r="J35" s="2" t="s">
        <v>70</v>
      </c>
      <c r="K35" s="2">
        <v>0</v>
      </c>
      <c r="L35" s="2" t="s">
        <v>74</v>
      </c>
      <c r="M35" s="28">
        <v>0.6875</v>
      </c>
      <c r="N35" s="6">
        <v>1750</v>
      </c>
      <c r="O35" s="6">
        <v>5</v>
      </c>
    </row>
    <row r="36" spans="1:15" x14ac:dyDescent="0.3">
      <c r="A36" s="16" t="s">
        <v>41</v>
      </c>
      <c r="B36" s="14">
        <f>MAX(B26:B32)</f>
        <v>4551189.92</v>
      </c>
      <c r="C36" s="14">
        <f>MAX(C26:C32)</f>
        <v>15183</v>
      </c>
      <c r="D36" s="14">
        <f>MAX(D26:D32)</f>
        <v>4.49</v>
      </c>
      <c r="E36" s="14" t="s">
        <v>33</v>
      </c>
      <c r="F36" s="14" t="s">
        <v>34</v>
      </c>
      <c r="G36" s="14">
        <f>MAX(G26:G32)</f>
        <v>90</v>
      </c>
      <c r="H36" s="14">
        <v>4.49</v>
      </c>
      <c r="I36" s="14" t="s">
        <v>43</v>
      </c>
      <c r="J36" s="6">
        <v>4990</v>
      </c>
      <c r="K36" s="2">
        <v>200</v>
      </c>
      <c r="L36" s="2" t="s">
        <v>75</v>
      </c>
      <c r="M36" s="28">
        <v>0.875</v>
      </c>
      <c r="N36" s="6">
        <v>9900</v>
      </c>
      <c r="O36" s="6">
        <v>40</v>
      </c>
    </row>
    <row r="39" spans="1:15" x14ac:dyDescent="0.3">
      <c r="A39" s="17" t="s">
        <v>22</v>
      </c>
    </row>
    <row r="40" spans="1:15" x14ac:dyDescent="0.3">
      <c r="A40" s="18" t="s">
        <v>1</v>
      </c>
      <c r="B40" s="2">
        <v>8</v>
      </c>
      <c r="C40" s="2">
        <v>10</v>
      </c>
      <c r="D40" s="2">
        <v>10</v>
      </c>
      <c r="E40" s="2">
        <v>6</v>
      </c>
      <c r="F40" s="2">
        <v>9</v>
      </c>
      <c r="G40" s="2">
        <v>6</v>
      </c>
      <c r="H40" s="2">
        <v>4</v>
      </c>
      <c r="I40" s="2">
        <v>6</v>
      </c>
      <c r="J40" s="2">
        <v>5</v>
      </c>
      <c r="K40" s="2">
        <v>9</v>
      </c>
      <c r="L40" s="2">
        <v>10</v>
      </c>
      <c r="M40" s="2">
        <v>4</v>
      </c>
      <c r="N40" s="2">
        <v>6</v>
      </c>
      <c r="O40" s="2">
        <v>3</v>
      </c>
    </row>
    <row r="41" spans="1:15" x14ac:dyDescent="0.3">
      <c r="A41" s="18" t="s">
        <v>3</v>
      </c>
      <c r="B41" s="2">
        <v>5</v>
      </c>
      <c r="C41" s="2">
        <v>10</v>
      </c>
      <c r="D41" s="2">
        <v>5</v>
      </c>
      <c r="E41" s="2">
        <v>4</v>
      </c>
      <c r="F41" s="2">
        <v>5</v>
      </c>
      <c r="G41" s="2">
        <v>9</v>
      </c>
      <c r="H41" s="2">
        <v>5</v>
      </c>
      <c r="I41" s="2">
        <v>5</v>
      </c>
      <c r="J41" s="2">
        <v>10</v>
      </c>
      <c r="K41" s="2">
        <v>6</v>
      </c>
      <c r="L41" s="2">
        <v>7</v>
      </c>
      <c r="M41" s="2">
        <v>4</v>
      </c>
      <c r="N41" s="2">
        <v>6</v>
      </c>
      <c r="O41" s="2">
        <v>9</v>
      </c>
    </row>
    <row r="42" spans="1:15" x14ac:dyDescent="0.3">
      <c r="A42" s="18" t="s">
        <v>32</v>
      </c>
      <c r="B42" s="2">
        <v>10</v>
      </c>
      <c r="C42" s="2">
        <v>10</v>
      </c>
      <c r="D42" s="2">
        <v>9</v>
      </c>
      <c r="E42" s="2">
        <v>4</v>
      </c>
      <c r="F42" s="2">
        <v>6</v>
      </c>
      <c r="G42" s="2">
        <v>6</v>
      </c>
      <c r="H42" s="2">
        <v>9</v>
      </c>
      <c r="I42" s="2">
        <v>5</v>
      </c>
      <c r="J42" s="2">
        <v>5</v>
      </c>
      <c r="K42" s="2">
        <v>6</v>
      </c>
      <c r="L42" s="2">
        <v>8</v>
      </c>
      <c r="M42" s="2">
        <v>5</v>
      </c>
      <c r="N42" s="2">
        <v>3</v>
      </c>
      <c r="O42" s="2">
        <v>5</v>
      </c>
    </row>
    <row r="43" spans="1:15" x14ac:dyDescent="0.3">
      <c r="A43" s="18" t="s">
        <v>13</v>
      </c>
      <c r="B43" s="2">
        <v>10</v>
      </c>
      <c r="C43" s="2">
        <v>9</v>
      </c>
      <c r="D43" s="2">
        <v>9</v>
      </c>
      <c r="E43" s="2">
        <v>4</v>
      </c>
      <c r="F43" s="2">
        <v>7</v>
      </c>
      <c r="G43" s="2">
        <v>5</v>
      </c>
      <c r="H43" s="2">
        <v>9</v>
      </c>
      <c r="I43" s="2">
        <v>3</v>
      </c>
      <c r="J43" s="2">
        <v>7</v>
      </c>
      <c r="K43" s="2">
        <v>9</v>
      </c>
      <c r="L43" s="2">
        <v>3</v>
      </c>
      <c r="M43" s="2">
        <v>8</v>
      </c>
      <c r="N43" s="2">
        <v>4</v>
      </c>
      <c r="O43" s="2">
        <v>3</v>
      </c>
    </row>
    <row r="44" spans="1:15" x14ac:dyDescent="0.3">
      <c r="A44" s="18" t="s">
        <v>0</v>
      </c>
      <c r="B44" s="2">
        <v>6</v>
      </c>
      <c r="C44" s="2">
        <v>6</v>
      </c>
      <c r="D44" s="2">
        <v>5</v>
      </c>
      <c r="E44" s="2">
        <v>3</v>
      </c>
      <c r="F44" s="2">
        <v>9</v>
      </c>
      <c r="G44" s="2">
        <v>5</v>
      </c>
      <c r="H44" s="2">
        <v>5</v>
      </c>
      <c r="I44" s="2">
        <v>4</v>
      </c>
      <c r="J44" s="2">
        <v>4</v>
      </c>
      <c r="K44" s="2">
        <v>9</v>
      </c>
      <c r="L44" s="2">
        <v>10</v>
      </c>
      <c r="M44" s="2">
        <v>4</v>
      </c>
      <c r="N44" s="2">
        <v>5</v>
      </c>
      <c r="O44" s="2">
        <v>4</v>
      </c>
    </row>
    <row r="45" spans="1:15" x14ac:dyDescent="0.3">
      <c r="A45" s="18" t="s">
        <v>57</v>
      </c>
      <c r="B45" s="2">
        <v>5</v>
      </c>
      <c r="C45" s="2">
        <v>6</v>
      </c>
      <c r="D45" s="2">
        <v>5</v>
      </c>
      <c r="E45" s="2">
        <v>3</v>
      </c>
      <c r="F45" s="2">
        <v>8</v>
      </c>
      <c r="G45" s="2">
        <v>7</v>
      </c>
      <c r="H45" s="2">
        <v>5</v>
      </c>
      <c r="I45" s="2">
        <v>4</v>
      </c>
      <c r="J45" s="2">
        <v>4</v>
      </c>
      <c r="K45" s="2">
        <v>9</v>
      </c>
      <c r="L45" s="2">
        <v>10</v>
      </c>
      <c r="M45" s="2">
        <v>6</v>
      </c>
      <c r="N45" s="2">
        <v>9</v>
      </c>
      <c r="O45" s="2">
        <v>4</v>
      </c>
    </row>
    <row r="46" spans="1:15" x14ac:dyDescent="0.3">
      <c r="A46" s="18" t="s">
        <v>69</v>
      </c>
      <c r="B46" s="2">
        <v>7</v>
      </c>
      <c r="C46" s="2">
        <v>6</v>
      </c>
      <c r="D46" s="2">
        <v>4</v>
      </c>
      <c r="E46" s="2">
        <v>2</v>
      </c>
      <c r="F46" s="2">
        <v>4</v>
      </c>
      <c r="G46" s="2">
        <v>6</v>
      </c>
      <c r="H46" s="2">
        <v>3</v>
      </c>
      <c r="I46" s="2">
        <v>2</v>
      </c>
      <c r="J46" s="2">
        <v>8</v>
      </c>
      <c r="K46" s="2">
        <v>9</v>
      </c>
      <c r="L46" s="2">
        <v>4</v>
      </c>
      <c r="M46" s="2">
        <v>4</v>
      </c>
      <c r="N46" s="2">
        <v>3</v>
      </c>
      <c r="O46" s="2">
        <v>3</v>
      </c>
    </row>
    <row r="49" spans="1:3" x14ac:dyDescent="0.3">
      <c r="A49" s="19" t="s">
        <v>51</v>
      </c>
      <c r="B49" s="2" t="s">
        <v>53</v>
      </c>
      <c r="C49" s="20" t="s">
        <v>54</v>
      </c>
    </row>
    <row r="50" spans="1:3" x14ac:dyDescent="0.3">
      <c r="A50" s="19" t="s">
        <v>1</v>
      </c>
      <c r="B50" s="2">
        <f>SUMPRODUCT(B40:O40,B34:O34)</f>
        <v>7.2022471910112351</v>
      </c>
      <c r="C50" s="21">
        <f>_xlfn.RANK.EQ(B50,B50:B56)</f>
        <v>1</v>
      </c>
    </row>
    <row r="51" spans="1:3" x14ac:dyDescent="0.3">
      <c r="A51" s="19" t="s">
        <v>3</v>
      </c>
      <c r="B51" s="2">
        <f>SUMPRODUCT(B41:O41,B34:O34)</f>
        <v>6.5842696629213471</v>
      </c>
      <c r="C51" s="21">
        <f>_xlfn.RANK.EQ(B51,B50:B56)</f>
        <v>4</v>
      </c>
    </row>
    <row r="52" spans="1:3" x14ac:dyDescent="0.3">
      <c r="A52" s="19" t="s">
        <v>52</v>
      </c>
      <c r="B52" s="2">
        <f>SUMPRODUCT(B42:O42,B34:O34)</f>
        <v>7.1797752808988751</v>
      </c>
      <c r="C52" s="21">
        <f>_xlfn.RANK.EQ(B52,B50:B56)</f>
        <v>2</v>
      </c>
    </row>
    <row r="53" spans="1:3" x14ac:dyDescent="0.3">
      <c r="A53" s="19" t="s">
        <v>56</v>
      </c>
      <c r="B53" s="2">
        <f>SUMPRODUCT(B43:O43,B34:O34)</f>
        <v>6.9213483146067425</v>
      </c>
      <c r="C53" s="21">
        <f>_xlfn.RANK.EQ(B53,B50:B56)</f>
        <v>3</v>
      </c>
    </row>
    <row r="54" spans="1:3" x14ac:dyDescent="0.3">
      <c r="A54" s="19" t="s">
        <v>0</v>
      </c>
      <c r="B54" s="2">
        <f>SUMPRODUCT(B44:O44,B34:O34)</f>
        <v>5.6404494382022472</v>
      </c>
      <c r="C54" s="21">
        <f>_xlfn.RANK.EQ(B54,B50:B56)</f>
        <v>6</v>
      </c>
    </row>
    <row r="55" spans="1:3" x14ac:dyDescent="0.3">
      <c r="A55" s="19" t="s">
        <v>57</v>
      </c>
      <c r="B55" s="2">
        <f>SUMPRODUCT(B45:O45,B34:O34)</f>
        <v>5.8876404494382024</v>
      </c>
      <c r="C55" s="21">
        <f>_xlfn.RANK.EQ(B55,B50:B56)</f>
        <v>5</v>
      </c>
    </row>
    <row r="56" spans="1:3" x14ac:dyDescent="0.3">
      <c r="A56" s="19" t="s">
        <v>98</v>
      </c>
      <c r="B56" s="2">
        <f>SUMPRODUCT(B46:O46,B34:O34)</f>
        <v>4.7528089887640439</v>
      </c>
      <c r="C56" s="21">
        <f>_xlfn.RANK.EQ(B56,B50:B56)</f>
        <v>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96F1-476E-454B-9C48-47F448621B68}">
  <dimension ref="A2:O37"/>
  <sheetViews>
    <sheetView workbookViewId="0">
      <selection activeCell="C11" sqref="C11"/>
    </sheetView>
  </sheetViews>
  <sheetFormatPr defaultRowHeight="14.4" x14ac:dyDescent="0.3"/>
  <cols>
    <col min="1" max="1" width="32.5546875" bestFit="1" customWidth="1"/>
    <col min="2" max="2" width="25.6640625" bestFit="1" customWidth="1"/>
    <col min="3" max="3" width="30.6640625" customWidth="1"/>
    <col min="13" max="13" width="32.21875" bestFit="1" customWidth="1"/>
  </cols>
  <sheetData>
    <row r="2" spans="1:14" ht="21" x14ac:dyDescent="0.4">
      <c r="A2" s="48" t="s">
        <v>129</v>
      </c>
      <c r="B2" s="49" t="s">
        <v>140</v>
      </c>
      <c r="C2" s="49"/>
      <c r="M2" t="s">
        <v>136</v>
      </c>
    </row>
    <row r="3" spans="1:14" ht="21" x14ac:dyDescent="0.4">
      <c r="A3" s="48" t="s">
        <v>130</v>
      </c>
      <c r="M3" t="s">
        <v>106</v>
      </c>
      <c r="N3">
        <f>0.2*0.4*0.5</f>
        <v>4.0000000000000008E-2</v>
      </c>
    </row>
    <row r="4" spans="1:14" x14ac:dyDescent="0.3">
      <c r="M4" t="s">
        <v>119</v>
      </c>
      <c r="N4">
        <f>0.1*0.4*0.5</f>
        <v>2.0000000000000004E-2</v>
      </c>
    </row>
    <row r="5" spans="1:14" x14ac:dyDescent="0.3">
      <c r="M5" t="s">
        <v>120</v>
      </c>
      <c r="N5">
        <f>0.2*0.4*0.5</f>
        <v>4.0000000000000008E-2</v>
      </c>
    </row>
    <row r="6" spans="1:14" x14ac:dyDescent="0.3">
      <c r="M6" t="s">
        <v>109</v>
      </c>
      <c r="N6">
        <f>0.3*0.4*0.5</f>
        <v>0.06</v>
      </c>
    </row>
    <row r="7" spans="1:14" x14ac:dyDescent="0.3">
      <c r="M7" t="s">
        <v>112</v>
      </c>
      <c r="N7">
        <f>0.2*0.4*0.5</f>
        <v>4.0000000000000008E-2</v>
      </c>
    </row>
    <row r="8" spans="1:14" x14ac:dyDescent="0.3">
      <c r="M8" t="s">
        <v>103</v>
      </c>
      <c r="N8">
        <f>0.2*0.6*0.5</f>
        <v>0.06</v>
      </c>
    </row>
    <row r="9" spans="1:14" x14ac:dyDescent="0.3">
      <c r="M9" t="s">
        <v>104</v>
      </c>
      <c r="N9">
        <f>0.2*0.6*0.5</f>
        <v>0.06</v>
      </c>
    </row>
    <row r="10" spans="1:14" x14ac:dyDescent="0.3">
      <c r="M10" t="s">
        <v>105</v>
      </c>
      <c r="N10">
        <f>0.3*0.6*0.5</f>
        <v>0.09</v>
      </c>
    </row>
    <row r="11" spans="1:14" x14ac:dyDescent="0.3">
      <c r="M11" t="s">
        <v>25</v>
      </c>
      <c r="N11">
        <f>0.1*0.6*0.5</f>
        <v>0.03</v>
      </c>
    </row>
    <row r="12" spans="1:14" x14ac:dyDescent="0.3">
      <c r="M12" t="s">
        <v>110</v>
      </c>
      <c r="N12">
        <f>0.1*0.6*0.5</f>
        <v>0.03</v>
      </c>
    </row>
    <row r="13" spans="1:14" x14ac:dyDescent="0.3">
      <c r="M13" t="s">
        <v>121</v>
      </c>
      <c r="N13" s="40">
        <f>0.1*0.6*0.3</f>
        <v>1.7999999999999999E-2</v>
      </c>
    </row>
    <row r="14" spans="1:14" x14ac:dyDescent="0.3">
      <c r="M14" t="s">
        <v>101</v>
      </c>
      <c r="N14">
        <f>0.5*0.2</f>
        <v>0.1</v>
      </c>
    </row>
    <row r="15" spans="1:14" x14ac:dyDescent="0.3">
      <c r="M15" t="s">
        <v>102</v>
      </c>
      <c r="N15">
        <f>0.5*0.2</f>
        <v>0.1</v>
      </c>
    </row>
    <row r="16" spans="1:14" x14ac:dyDescent="0.3">
      <c r="M16" t="s">
        <v>100</v>
      </c>
      <c r="N16">
        <f>1*0.3</f>
        <v>0.3</v>
      </c>
    </row>
    <row r="18" spans="1:15" x14ac:dyDescent="0.3">
      <c r="A18" t="s">
        <v>123</v>
      </c>
      <c r="B18">
        <v>0.06</v>
      </c>
      <c r="C18">
        <v>0.06</v>
      </c>
      <c r="D18">
        <v>0.09</v>
      </c>
      <c r="E18">
        <v>0.3</v>
      </c>
      <c r="F18">
        <v>0.04</v>
      </c>
      <c r="G18">
        <v>0.03</v>
      </c>
      <c r="H18">
        <v>0.04</v>
      </c>
      <c r="I18">
        <v>0.02</v>
      </c>
      <c r="J18">
        <v>0.06</v>
      </c>
      <c r="K18">
        <v>0.03</v>
      </c>
      <c r="L18">
        <v>0.1</v>
      </c>
      <c r="M18">
        <v>0.1</v>
      </c>
      <c r="N18">
        <v>0.04</v>
      </c>
      <c r="O18">
        <v>0.02</v>
      </c>
    </row>
    <row r="20" spans="1:15" x14ac:dyDescent="0.3">
      <c r="A20" s="17" t="s">
        <v>22</v>
      </c>
    </row>
    <row r="21" spans="1:15" x14ac:dyDescent="0.3">
      <c r="A21" s="18" t="s">
        <v>1</v>
      </c>
      <c r="B21" s="2">
        <v>8</v>
      </c>
      <c r="C21" s="2">
        <v>10</v>
      </c>
      <c r="D21" s="2">
        <v>10</v>
      </c>
      <c r="E21" s="2">
        <v>6</v>
      </c>
      <c r="F21" s="2">
        <v>9</v>
      </c>
      <c r="G21" s="2">
        <v>6</v>
      </c>
      <c r="H21" s="2">
        <v>4</v>
      </c>
      <c r="I21" s="2">
        <v>6</v>
      </c>
      <c r="J21" s="2">
        <v>5</v>
      </c>
      <c r="K21" s="2">
        <v>9</v>
      </c>
      <c r="L21" s="2">
        <v>10</v>
      </c>
      <c r="M21" s="2">
        <v>4</v>
      </c>
      <c r="N21" s="2">
        <v>6</v>
      </c>
      <c r="O21" s="2">
        <v>3</v>
      </c>
    </row>
    <row r="22" spans="1:15" x14ac:dyDescent="0.3">
      <c r="A22" s="18" t="s">
        <v>3</v>
      </c>
      <c r="B22" s="2">
        <v>5</v>
      </c>
      <c r="C22" s="2">
        <v>10</v>
      </c>
      <c r="D22" s="2">
        <v>5</v>
      </c>
      <c r="E22" s="2">
        <v>4</v>
      </c>
      <c r="F22" s="2">
        <v>5</v>
      </c>
      <c r="G22" s="2">
        <v>9</v>
      </c>
      <c r="H22" s="2">
        <v>5</v>
      </c>
      <c r="I22" s="2">
        <v>5</v>
      </c>
      <c r="J22" s="2">
        <v>10</v>
      </c>
      <c r="K22" s="2">
        <v>6</v>
      </c>
      <c r="L22" s="2">
        <v>7</v>
      </c>
      <c r="M22" s="2">
        <v>4</v>
      </c>
      <c r="N22" s="2">
        <v>6</v>
      </c>
      <c r="O22" s="2">
        <v>9</v>
      </c>
    </row>
    <row r="23" spans="1:15" x14ac:dyDescent="0.3">
      <c r="A23" s="18" t="s">
        <v>32</v>
      </c>
      <c r="B23" s="2">
        <v>10</v>
      </c>
      <c r="C23" s="2">
        <v>10</v>
      </c>
      <c r="D23" s="2">
        <v>9</v>
      </c>
      <c r="E23" s="2">
        <v>4</v>
      </c>
      <c r="F23" s="2">
        <v>6</v>
      </c>
      <c r="G23" s="2">
        <v>6</v>
      </c>
      <c r="H23" s="2">
        <v>9</v>
      </c>
      <c r="I23" s="2">
        <v>5</v>
      </c>
      <c r="J23" s="2">
        <v>5</v>
      </c>
      <c r="K23" s="2">
        <v>6</v>
      </c>
      <c r="L23" s="2">
        <v>8</v>
      </c>
      <c r="M23" s="2">
        <v>5</v>
      </c>
      <c r="N23" s="2">
        <v>3</v>
      </c>
      <c r="O23" s="2">
        <v>5</v>
      </c>
    </row>
    <row r="24" spans="1:15" x14ac:dyDescent="0.3">
      <c r="A24" s="18" t="s">
        <v>13</v>
      </c>
      <c r="B24" s="2">
        <v>10</v>
      </c>
      <c r="C24" s="2">
        <v>9</v>
      </c>
      <c r="D24" s="2">
        <v>9</v>
      </c>
      <c r="E24" s="2">
        <v>4</v>
      </c>
      <c r="F24" s="2">
        <v>7</v>
      </c>
      <c r="G24" s="2">
        <v>5</v>
      </c>
      <c r="H24" s="2">
        <v>9</v>
      </c>
      <c r="I24" s="2">
        <v>3</v>
      </c>
      <c r="J24" s="2">
        <v>7</v>
      </c>
      <c r="K24" s="2">
        <v>9</v>
      </c>
      <c r="L24" s="2">
        <v>3</v>
      </c>
      <c r="M24" s="2">
        <v>8</v>
      </c>
      <c r="N24" s="2">
        <v>4</v>
      </c>
      <c r="O24" s="2">
        <v>3</v>
      </c>
    </row>
    <row r="25" spans="1:15" x14ac:dyDescent="0.3">
      <c r="A25" s="18" t="s">
        <v>0</v>
      </c>
      <c r="B25" s="2">
        <v>6</v>
      </c>
      <c r="C25" s="2">
        <v>6</v>
      </c>
      <c r="D25" s="2">
        <v>5</v>
      </c>
      <c r="E25" s="2">
        <v>3</v>
      </c>
      <c r="F25" s="2">
        <v>9</v>
      </c>
      <c r="G25" s="2">
        <v>5</v>
      </c>
      <c r="H25" s="2">
        <v>5</v>
      </c>
      <c r="I25" s="2">
        <v>4</v>
      </c>
      <c r="J25" s="2">
        <v>4</v>
      </c>
      <c r="K25" s="2">
        <v>9</v>
      </c>
      <c r="L25" s="2">
        <v>10</v>
      </c>
      <c r="M25" s="2">
        <v>4</v>
      </c>
      <c r="N25" s="2">
        <v>5</v>
      </c>
      <c r="O25" s="2">
        <v>4</v>
      </c>
    </row>
    <row r="26" spans="1:15" x14ac:dyDescent="0.3">
      <c r="A26" s="18" t="s">
        <v>57</v>
      </c>
      <c r="B26" s="2">
        <v>5</v>
      </c>
      <c r="C26" s="2">
        <v>6</v>
      </c>
      <c r="D26" s="2">
        <v>5</v>
      </c>
      <c r="E26" s="2">
        <v>3</v>
      </c>
      <c r="F26" s="2">
        <v>8</v>
      </c>
      <c r="G26" s="2">
        <v>7</v>
      </c>
      <c r="H26" s="2">
        <v>5</v>
      </c>
      <c r="I26" s="2">
        <v>4</v>
      </c>
      <c r="J26" s="2">
        <v>4</v>
      </c>
      <c r="K26" s="2">
        <v>9</v>
      </c>
      <c r="L26" s="2">
        <v>10</v>
      </c>
      <c r="M26" s="2">
        <v>6</v>
      </c>
      <c r="N26" s="2">
        <v>9</v>
      </c>
      <c r="O26" s="2">
        <v>4</v>
      </c>
    </row>
    <row r="27" spans="1:15" x14ac:dyDescent="0.3">
      <c r="A27" s="18" t="s">
        <v>69</v>
      </c>
      <c r="B27" s="2">
        <v>7</v>
      </c>
      <c r="C27" s="2">
        <v>6</v>
      </c>
      <c r="D27" s="2">
        <v>4</v>
      </c>
      <c r="E27" s="2">
        <v>2</v>
      </c>
      <c r="F27" s="2">
        <v>4</v>
      </c>
      <c r="G27" s="2">
        <v>6</v>
      </c>
      <c r="H27" s="2">
        <v>3</v>
      </c>
      <c r="I27" s="2">
        <v>2</v>
      </c>
      <c r="J27" s="2">
        <v>8</v>
      </c>
      <c r="K27" s="2">
        <v>9</v>
      </c>
      <c r="L27" s="2">
        <v>4</v>
      </c>
      <c r="M27" s="2">
        <v>4</v>
      </c>
      <c r="N27" s="2">
        <v>3</v>
      </c>
      <c r="O27" s="2">
        <v>3</v>
      </c>
    </row>
    <row r="29" spans="1:15" x14ac:dyDescent="0.3">
      <c r="A29" s="41" t="s">
        <v>124</v>
      </c>
    </row>
    <row r="30" spans="1:15" x14ac:dyDescent="0.3">
      <c r="A30" s="19" t="s">
        <v>51</v>
      </c>
      <c r="B30" s="2" t="s">
        <v>53</v>
      </c>
      <c r="C30" s="20" t="s">
        <v>54</v>
      </c>
    </row>
    <row r="31" spans="1:15" x14ac:dyDescent="0.3">
      <c r="A31" s="19" t="s">
        <v>1</v>
      </c>
      <c r="B31" s="2">
        <f>SUMPRODUCT(B21:O21,B18:O18)</f>
        <v>6.87</v>
      </c>
      <c r="C31" s="21">
        <f>_xlfn.RANK.EQ(B31,B31:B37)</f>
        <v>1</v>
      </c>
    </row>
    <row r="32" spans="1:15" x14ac:dyDescent="0.3">
      <c r="A32" s="19" t="s">
        <v>3</v>
      </c>
      <c r="B32" s="2">
        <f>SUMPRODUCT(B22:O22,B18:O18)</f>
        <v>5.620000000000001</v>
      </c>
      <c r="C32" s="21">
        <f>_xlfn.RANK.EQ(B32,B31:B37)</f>
        <v>4</v>
      </c>
    </row>
    <row r="33" spans="1:3" x14ac:dyDescent="0.3">
      <c r="A33" s="19" t="s">
        <v>52</v>
      </c>
      <c r="B33" s="2">
        <f>SUMPRODUCT(B23:O23,B18:O18)</f>
        <v>6.089999999999999</v>
      </c>
      <c r="C33" s="21">
        <f>_xlfn.RANK.EQ(B33,B31:B37)</f>
        <v>2</v>
      </c>
    </row>
    <row r="34" spans="1:3" x14ac:dyDescent="0.3">
      <c r="A34" s="19" t="s">
        <v>56</v>
      </c>
      <c r="B34" s="2">
        <f>SUMPRODUCT(B24:O24,B18:O18)</f>
        <v>6.0099999999999989</v>
      </c>
      <c r="C34" s="21">
        <f>_xlfn.RANK.EQ(B34,B31:B37)</f>
        <v>3</v>
      </c>
    </row>
    <row r="35" spans="1:3" x14ac:dyDescent="0.3">
      <c r="A35" s="19" t="s">
        <v>0</v>
      </c>
      <c r="B35" s="2">
        <f>SUMPRODUCT(B25:O25,B18:O18)</f>
        <v>5.05</v>
      </c>
      <c r="C35" s="21">
        <f>_xlfn.RANK.EQ(B35,B31:B37)</f>
        <v>6</v>
      </c>
    </row>
    <row r="36" spans="1:3" x14ac:dyDescent="0.3">
      <c r="A36" s="19" t="s">
        <v>57</v>
      </c>
      <c r="B36" s="2">
        <f>SUMPRODUCT(B26:O26,B18:O18)</f>
        <v>5.37</v>
      </c>
      <c r="C36" s="21">
        <f>_xlfn.RANK.EQ(B36,B31:B37)</f>
        <v>5</v>
      </c>
    </row>
    <row r="37" spans="1:3" x14ac:dyDescent="0.3">
      <c r="A37" s="19" t="s">
        <v>98</v>
      </c>
      <c r="B37" s="2">
        <f>SUMPRODUCT(B27:O27,B18:O18)</f>
        <v>3.97</v>
      </c>
      <c r="C37" s="21">
        <f>_xlfn.RANK.EQ(B37,B31:B37)</f>
        <v>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198F-0475-42E5-AEB4-51547EC5F09A}">
  <dimension ref="A2:O53"/>
  <sheetViews>
    <sheetView zoomScale="108" zoomScaleNormal="108" workbookViewId="0">
      <selection activeCell="B2" sqref="B2"/>
    </sheetView>
  </sheetViews>
  <sheetFormatPr defaultRowHeight="14.4" x14ac:dyDescent="0.3"/>
  <cols>
    <col min="1" max="1" width="32.77734375" bestFit="1" customWidth="1"/>
    <col min="2" max="2" width="43.109375" bestFit="1" customWidth="1"/>
    <col min="3" max="3" width="17.5546875" bestFit="1" customWidth="1"/>
    <col min="4" max="4" width="20.5546875" bestFit="1" customWidth="1"/>
    <col min="5" max="5" width="36.5546875" bestFit="1" customWidth="1"/>
    <col min="6" max="6" width="36" bestFit="1" customWidth="1"/>
    <col min="8" max="8" width="39.44140625" bestFit="1" customWidth="1"/>
    <col min="9" max="9" width="44.109375" bestFit="1" customWidth="1"/>
    <col min="10" max="10" width="38.5546875" bestFit="1" customWidth="1"/>
    <col min="11" max="11" width="28.77734375" bestFit="1" customWidth="1"/>
    <col min="12" max="12" width="35.109375" bestFit="1" customWidth="1"/>
    <col min="13" max="13" width="28.77734375" bestFit="1" customWidth="1"/>
    <col min="14" max="14" width="25.33203125" bestFit="1" customWidth="1"/>
    <col min="15" max="15" width="38" bestFit="1" customWidth="1"/>
  </cols>
  <sheetData>
    <row r="2" spans="1:5" ht="21" x14ac:dyDescent="0.4">
      <c r="A2" s="48" t="s">
        <v>129</v>
      </c>
      <c r="B2" s="49" t="s">
        <v>137</v>
      </c>
    </row>
    <row r="3" spans="1:5" ht="21" x14ac:dyDescent="0.4">
      <c r="A3" s="48" t="s">
        <v>130</v>
      </c>
    </row>
    <row r="5" spans="1:5" x14ac:dyDescent="0.3">
      <c r="B5" s="5" t="s">
        <v>5</v>
      </c>
      <c r="C5" s="5" t="s">
        <v>9</v>
      </c>
      <c r="D5" s="5" t="s">
        <v>10</v>
      </c>
      <c r="E5" s="5" t="s">
        <v>11</v>
      </c>
    </row>
    <row r="6" spans="1:5" x14ac:dyDescent="0.3">
      <c r="B6" s="5" t="s">
        <v>6</v>
      </c>
      <c r="C6" s="2">
        <v>1</v>
      </c>
      <c r="D6" s="2">
        <v>9</v>
      </c>
      <c r="E6" s="24">
        <f>D6/D20</f>
        <v>0.10465116279069768</v>
      </c>
    </row>
    <row r="7" spans="1:5" x14ac:dyDescent="0.3">
      <c r="B7" s="5" t="s">
        <v>7</v>
      </c>
      <c r="C7" s="2">
        <v>2</v>
      </c>
      <c r="D7" s="2">
        <v>10</v>
      </c>
      <c r="E7" s="24">
        <f>D7/D20</f>
        <v>0.11627906976744186</v>
      </c>
    </row>
    <row r="8" spans="1:5" x14ac:dyDescent="0.3">
      <c r="B8" s="5" t="s">
        <v>8</v>
      </c>
      <c r="C8" s="2">
        <v>3</v>
      </c>
      <c r="D8" s="2">
        <v>10</v>
      </c>
      <c r="E8" s="24">
        <f>D8/D20</f>
        <v>0.11627906976744186</v>
      </c>
    </row>
    <row r="9" spans="1:5" x14ac:dyDescent="0.3">
      <c r="B9" s="5" t="s">
        <v>23</v>
      </c>
      <c r="C9" s="2">
        <v>4</v>
      </c>
      <c r="D9" s="2">
        <v>5</v>
      </c>
      <c r="E9" s="24">
        <f>D9/D20</f>
        <v>5.8139534883720929E-2</v>
      </c>
    </row>
    <row r="10" spans="1:5" x14ac:dyDescent="0.3">
      <c r="B10" s="5" t="s">
        <v>24</v>
      </c>
      <c r="C10" s="2">
        <v>5</v>
      </c>
      <c r="D10" s="2">
        <v>4</v>
      </c>
      <c r="E10" s="24">
        <f>D10/D20</f>
        <v>4.6511627906976744E-2</v>
      </c>
    </row>
    <row r="11" spans="1:5" x14ac:dyDescent="0.3">
      <c r="B11" s="5" t="s">
        <v>25</v>
      </c>
      <c r="C11" s="2">
        <v>6</v>
      </c>
      <c r="D11" s="2">
        <v>9</v>
      </c>
      <c r="E11" s="24">
        <f>D11/D20</f>
        <v>0.10465116279069768</v>
      </c>
    </row>
    <row r="12" spans="1:5" x14ac:dyDescent="0.3">
      <c r="B12" s="5" t="s">
        <v>26</v>
      </c>
      <c r="C12" s="2">
        <v>7</v>
      </c>
      <c r="D12" s="2">
        <v>6</v>
      </c>
      <c r="E12" s="24">
        <f>D12/D20</f>
        <v>6.9767441860465115E-2</v>
      </c>
    </row>
    <row r="13" spans="1:5" x14ac:dyDescent="0.3">
      <c r="B13" s="5" t="s">
        <v>27</v>
      </c>
      <c r="C13" s="2">
        <v>8</v>
      </c>
      <c r="D13" s="2">
        <v>6</v>
      </c>
      <c r="E13" s="24">
        <f>D13/D20</f>
        <v>6.9767441860465115E-2</v>
      </c>
    </row>
    <row r="14" spans="1:5" x14ac:dyDescent="0.3">
      <c r="B14" s="5" t="s">
        <v>87</v>
      </c>
      <c r="C14" s="2">
        <v>9</v>
      </c>
      <c r="D14" s="2">
        <v>4</v>
      </c>
      <c r="E14" s="24">
        <f>D14/D20</f>
        <v>4.6511627906976744E-2</v>
      </c>
    </row>
    <row r="15" spans="1:5" x14ac:dyDescent="0.3">
      <c r="B15" s="5" t="s">
        <v>88</v>
      </c>
      <c r="C15" s="2">
        <v>10</v>
      </c>
      <c r="D15" s="2">
        <v>4</v>
      </c>
      <c r="E15" s="24">
        <f>D15/D20</f>
        <v>4.6511627906976744E-2</v>
      </c>
    </row>
    <row r="16" spans="1:5" x14ac:dyDescent="0.3">
      <c r="B16" s="5" t="s">
        <v>89</v>
      </c>
      <c r="C16" s="2">
        <v>11</v>
      </c>
      <c r="D16" s="2">
        <v>3</v>
      </c>
      <c r="E16" s="24">
        <f>D16/D20</f>
        <v>3.4883720930232558E-2</v>
      </c>
    </row>
    <row r="17" spans="1:15" x14ac:dyDescent="0.3">
      <c r="B17" s="5" t="s">
        <v>90</v>
      </c>
      <c r="C17" s="2">
        <v>12</v>
      </c>
      <c r="D17" s="2">
        <v>3</v>
      </c>
      <c r="E17" s="24">
        <f>D17/D20</f>
        <v>3.4883720930232558E-2</v>
      </c>
    </row>
    <row r="18" spans="1:15" x14ac:dyDescent="0.3">
      <c r="B18" s="5" t="s">
        <v>91</v>
      </c>
      <c r="C18" s="2">
        <v>13</v>
      </c>
      <c r="D18" s="2">
        <v>4</v>
      </c>
      <c r="E18" s="24">
        <f>D18/D20</f>
        <v>4.6511627906976744E-2</v>
      </c>
    </row>
    <row r="19" spans="1:15" x14ac:dyDescent="0.3">
      <c r="B19" s="5" t="s">
        <v>92</v>
      </c>
      <c r="C19" s="2">
        <v>14</v>
      </c>
      <c r="D19" s="2">
        <v>9</v>
      </c>
      <c r="E19" s="24">
        <f>D19/D20</f>
        <v>0.10465116279069768</v>
      </c>
    </row>
    <row r="20" spans="1:15" x14ac:dyDescent="0.3">
      <c r="B20" s="5" t="s">
        <v>12</v>
      </c>
      <c r="C20" s="2"/>
      <c r="D20" s="2">
        <f>SUM(D6:D19)</f>
        <v>86</v>
      </c>
      <c r="E20" s="24"/>
    </row>
    <row r="23" spans="1:15" x14ac:dyDescent="0.3">
      <c r="A23" s="14"/>
      <c r="B23" s="16" t="s">
        <v>44</v>
      </c>
      <c r="C23" s="16" t="s">
        <v>45</v>
      </c>
      <c r="D23" s="16" t="s">
        <v>46</v>
      </c>
      <c r="E23" s="16" t="s">
        <v>47</v>
      </c>
      <c r="F23" s="16" t="s">
        <v>48</v>
      </c>
      <c r="G23" s="16" t="s">
        <v>31</v>
      </c>
      <c r="H23" s="16" t="s">
        <v>49</v>
      </c>
      <c r="I23" s="16" t="s">
        <v>50</v>
      </c>
      <c r="J23" s="16" t="s">
        <v>72</v>
      </c>
      <c r="K23" s="16" t="s">
        <v>71</v>
      </c>
      <c r="L23" s="16" t="s">
        <v>73</v>
      </c>
      <c r="M23" s="16" t="s">
        <v>77</v>
      </c>
      <c r="N23" s="16" t="s">
        <v>99</v>
      </c>
      <c r="O23" s="16" t="s">
        <v>86</v>
      </c>
    </row>
    <row r="24" spans="1:15" x14ac:dyDescent="0.3">
      <c r="A24" s="16" t="s">
        <v>1</v>
      </c>
      <c r="B24" s="13">
        <v>4359265.4000000004</v>
      </c>
      <c r="C24" s="14">
        <v>11300</v>
      </c>
      <c r="D24" s="14">
        <v>3.99</v>
      </c>
      <c r="E24" s="14" t="s">
        <v>33</v>
      </c>
      <c r="F24" s="14" t="s">
        <v>34</v>
      </c>
      <c r="G24" s="14">
        <v>80</v>
      </c>
      <c r="H24" s="14" t="s">
        <v>36</v>
      </c>
      <c r="I24" s="14" t="s">
        <v>38</v>
      </c>
      <c r="J24" s="6">
        <v>2400</v>
      </c>
      <c r="K24" s="2">
        <v>0</v>
      </c>
      <c r="L24" s="2" t="s">
        <v>74</v>
      </c>
      <c r="M24" s="2" t="s">
        <v>78</v>
      </c>
      <c r="N24" s="6" t="s">
        <v>83</v>
      </c>
      <c r="O24" s="2">
        <v>5</v>
      </c>
    </row>
    <row r="25" spans="1:15" x14ac:dyDescent="0.3">
      <c r="A25" s="16" t="s">
        <v>3</v>
      </c>
      <c r="B25" s="13">
        <v>4397279.13</v>
      </c>
      <c r="C25" s="14">
        <v>12152</v>
      </c>
      <c r="D25" s="14">
        <v>4.09</v>
      </c>
      <c r="E25" s="14" t="s">
        <v>33</v>
      </c>
      <c r="F25" s="14" t="s">
        <v>35</v>
      </c>
      <c r="G25" s="14">
        <v>90</v>
      </c>
      <c r="H25" s="14" t="s">
        <v>37</v>
      </c>
      <c r="I25" s="14" t="s">
        <v>67</v>
      </c>
      <c r="J25" s="6" t="s">
        <v>70</v>
      </c>
      <c r="K25" s="2">
        <v>150</v>
      </c>
      <c r="L25" s="2" t="s">
        <v>74</v>
      </c>
      <c r="M25" s="2" t="s">
        <v>79</v>
      </c>
      <c r="N25" s="6" t="s">
        <v>84</v>
      </c>
      <c r="O25" s="2">
        <v>40</v>
      </c>
    </row>
    <row r="26" spans="1:15" x14ac:dyDescent="0.3">
      <c r="A26" s="16" t="s">
        <v>32</v>
      </c>
      <c r="B26" s="13">
        <v>4397279.13</v>
      </c>
      <c r="C26" s="14">
        <v>12152</v>
      </c>
      <c r="D26" s="14">
        <v>3.55</v>
      </c>
      <c r="E26" s="14" t="s">
        <v>33</v>
      </c>
      <c r="F26" s="14" t="s">
        <v>35</v>
      </c>
      <c r="G26" s="14">
        <v>80</v>
      </c>
      <c r="H26" s="14" t="s">
        <v>42</v>
      </c>
      <c r="I26" s="14" t="s">
        <v>39</v>
      </c>
      <c r="J26" s="6">
        <v>2900</v>
      </c>
      <c r="K26" s="2">
        <v>200</v>
      </c>
      <c r="L26" s="2" t="s">
        <v>74</v>
      </c>
      <c r="M26" s="2" t="s">
        <v>80</v>
      </c>
      <c r="N26" s="6" t="s">
        <v>85</v>
      </c>
      <c r="O26" s="2">
        <v>20</v>
      </c>
    </row>
    <row r="27" spans="1:15" x14ac:dyDescent="0.3">
      <c r="A27" s="16" t="s">
        <v>56</v>
      </c>
      <c r="B27" s="13">
        <v>4265049.78</v>
      </c>
      <c r="C27" s="14">
        <v>13876</v>
      </c>
      <c r="D27" s="14">
        <v>3.74</v>
      </c>
      <c r="E27" s="14" t="s">
        <v>63</v>
      </c>
      <c r="F27" s="14" t="s">
        <v>35</v>
      </c>
      <c r="G27" s="14">
        <v>80</v>
      </c>
      <c r="H27" s="14" t="s">
        <v>59</v>
      </c>
      <c r="I27" s="14" t="s">
        <v>65</v>
      </c>
      <c r="J27" s="6" t="s">
        <v>70</v>
      </c>
      <c r="K27" s="2">
        <v>0</v>
      </c>
      <c r="L27" s="2" t="s">
        <v>75</v>
      </c>
      <c r="M27" s="2" t="s">
        <v>81</v>
      </c>
      <c r="N27" s="6" t="s">
        <v>85</v>
      </c>
      <c r="O27" s="2">
        <v>5</v>
      </c>
    </row>
    <row r="28" spans="1:15" x14ac:dyDescent="0.3">
      <c r="A28" s="16" t="s">
        <v>0</v>
      </c>
      <c r="B28" s="13">
        <v>4359265.4000000004</v>
      </c>
      <c r="C28" s="14">
        <v>14305</v>
      </c>
      <c r="D28" s="14">
        <v>3.99</v>
      </c>
      <c r="E28" s="14" t="s">
        <v>33</v>
      </c>
      <c r="F28" s="14" t="s">
        <v>34</v>
      </c>
      <c r="G28" s="14">
        <v>90</v>
      </c>
      <c r="H28" s="14" t="s">
        <v>60</v>
      </c>
      <c r="I28" s="14" t="s">
        <v>66</v>
      </c>
      <c r="J28" s="6">
        <v>2900</v>
      </c>
      <c r="K28" s="2">
        <v>0</v>
      </c>
      <c r="L28" s="2" t="s">
        <v>74</v>
      </c>
      <c r="M28" s="2" t="s">
        <v>78</v>
      </c>
      <c r="N28" s="6" t="s">
        <v>85</v>
      </c>
      <c r="O28" s="2">
        <v>15</v>
      </c>
    </row>
    <row r="29" spans="1:15" x14ac:dyDescent="0.3">
      <c r="A29" s="16" t="s">
        <v>57</v>
      </c>
      <c r="B29" s="13">
        <v>4359265.4000000004</v>
      </c>
      <c r="C29" s="14">
        <v>14653</v>
      </c>
      <c r="D29" s="14">
        <v>4.1900000000000004</v>
      </c>
      <c r="E29" s="14" t="s">
        <v>64</v>
      </c>
      <c r="F29" s="14" t="s">
        <v>34</v>
      </c>
      <c r="G29" s="14">
        <v>90</v>
      </c>
      <c r="H29" s="14" t="s">
        <v>62</v>
      </c>
      <c r="I29" s="14" t="s">
        <v>68</v>
      </c>
      <c r="J29" s="6">
        <v>4990</v>
      </c>
      <c r="K29" s="2">
        <v>0</v>
      </c>
      <c r="L29" s="2" t="s">
        <v>74</v>
      </c>
      <c r="M29" s="2" t="s">
        <v>78</v>
      </c>
      <c r="N29" s="6">
        <v>2000</v>
      </c>
      <c r="O29" s="2">
        <v>15</v>
      </c>
    </row>
    <row r="30" spans="1:15" x14ac:dyDescent="0.3">
      <c r="A30" s="16" t="s">
        <v>58</v>
      </c>
      <c r="B30" s="13">
        <v>4551189.92</v>
      </c>
      <c r="C30" s="14">
        <v>15183</v>
      </c>
      <c r="D30" s="14">
        <v>4.49</v>
      </c>
      <c r="E30" s="14" t="s">
        <v>63</v>
      </c>
      <c r="F30" s="14" t="s">
        <v>35</v>
      </c>
      <c r="G30" s="14">
        <v>90</v>
      </c>
      <c r="H30" s="14" t="s">
        <v>61</v>
      </c>
      <c r="I30" s="14" t="s">
        <v>68</v>
      </c>
      <c r="J30" s="6" t="s">
        <v>70</v>
      </c>
      <c r="K30" s="2">
        <v>0</v>
      </c>
      <c r="L30" s="2" t="s">
        <v>76</v>
      </c>
      <c r="M30" s="2" t="s">
        <v>82</v>
      </c>
      <c r="N30" s="6" t="s">
        <v>85</v>
      </c>
      <c r="O30" s="2">
        <v>5</v>
      </c>
    </row>
    <row r="31" spans="1:15" x14ac:dyDescent="0.3">
      <c r="A31" s="16" t="s">
        <v>21</v>
      </c>
      <c r="B31" s="14" t="s">
        <v>18</v>
      </c>
      <c r="C31" s="14" t="s">
        <v>18</v>
      </c>
      <c r="D31" s="14" t="s">
        <v>18</v>
      </c>
      <c r="E31" s="14" t="s">
        <v>19</v>
      </c>
      <c r="F31" s="14" t="s">
        <v>18</v>
      </c>
      <c r="G31" s="14" t="s">
        <v>19</v>
      </c>
      <c r="H31" s="14" t="s">
        <v>18</v>
      </c>
      <c r="I31" s="14" t="s">
        <v>19</v>
      </c>
      <c r="J31" s="2" t="s">
        <v>18</v>
      </c>
      <c r="K31" s="2" t="s">
        <v>18</v>
      </c>
      <c r="L31" s="2" t="s">
        <v>18</v>
      </c>
      <c r="M31" s="23" t="s">
        <v>19</v>
      </c>
      <c r="N31" s="6" t="s">
        <v>18</v>
      </c>
      <c r="O31" s="2" t="s">
        <v>19</v>
      </c>
    </row>
    <row r="32" spans="1:15" x14ac:dyDescent="0.3">
      <c r="A32" s="16" t="s">
        <v>20</v>
      </c>
      <c r="B32" s="27">
        <f>D6/D20</f>
        <v>0.10465116279069768</v>
      </c>
      <c r="C32" s="27">
        <f>D7/D20</f>
        <v>0.11627906976744186</v>
      </c>
      <c r="D32" s="27">
        <f>D8/D20</f>
        <v>0.11627906976744186</v>
      </c>
      <c r="E32" s="27">
        <f>D9/D20</f>
        <v>5.8139534883720929E-2</v>
      </c>
      <c r="F32" s="27">
        <f>D10/D20</f>
        <v>4.6511627906976744E-2</v>
      </c>
      <c r="G32" s="27">
        <f>D11/D20</f>
        <v>0.10465116279069768</v>
      </c>
      <c r="H32" s="27">
        <f>D12/D20</f>
        <v>6.9767441860465115E-2</v>
      </c>
      <c r="I32" s="27">
        <f>D13/D20</f>
        <v>6.9767441860465115E-2</v>
      </c>
      <c r="J32" s="25">
        <f>D14/D20</f>
        <v>4.6511627906976744E-2</v>
      </c>
      <c r="K32" s="25">
        <f>D15/D20</f>
        <v>4.6511627906976744E-2</v>
      </c>
      <c r="L32" s="25">
        <f>D16/D20</f>
        <v>3.4883720930232558E-2</v>
      </c>
      <c r="M32" s="25">
        <f>D17/D20</f>
        <v>3.4883720930232558E-2</v>
      </c>
      <c r="N32" s="25">
        <f>D18/D20</f>
        <v>4.6511627906976744E-2</v>
      </c>
      <c r="O32" s="2">
        <f>D19/D20</f>
        <v>0.10465116279069768</v>
      </c>
    </row>
    <row r="33" spans="1:15" x14ac:dyDescent="0.3">
      <c r="A33" s="16" t="s">
        <v>40</v>
      </c>
      <c r="B33" s="14">
        <f>MIN(B24:B30)</f>
        <v>4265049.78</v>
      </c>
      <c r="C33" s="15">
        <f>MIN(C24:C30)</f>
        <v>11300</v>
      </c>
      <c r="D33" s="14">
        <f>MIN(D24:D30)</f>
        <v>3.55</v>
      </c>
      <c r="E33" s="14" t="s">
        <v>63</v>
      </c>
      <c r="F33" s="14" t="s">
        <v>35</v>
      </c>
      <c r="G33" s="14">
        <f>MIN(G24:G30)</f>
        <v>80</v>
      </c>
      <c r="H33" s="14">
        <v>3.29</v>
      </c>
      <c r="I33" s="14" t="s">
        <v>97</v>
      </c>
      <c r="J33" s="2" t="s">
        <v>70</v>
      </c>
      <c r="K33" s="2">
        <v>0</v>
      </c>
      <c r="L33" s="2" t="s">
        <v>74</v>
      </c>
      <c r="M33" s="28">
        <v>0.6875</v>
      </c>
      <c r="N33" s="6">
        <v>1750</v>
      </c>
      <c r="O33" s="6">
        <v>5</v>
      </c>
    </row>
    <row r="34" spans="1:15" x14ac:dyDescent="0.3">
      <c r="A34" s="16" t="s">
        <v>41</v>
      </c>
      <c r="B34" s="14">
        <f>MAX(B24:B30)</f>
        <v>4551189.92</v>
      </c>
      <c r="C34" s="14">
        <f>MAX(C24:C30)</f>
        <v>15183</v>
      </c>
      <c r="D34" s="14">
        <f>MAX(D24:D30)</f>
        <v>4.49</v>
      </c>
      <c r="E34" s="14" t="s">
        <v>33</v>
      </c>
      <c r="F34" s="14" t="s">
        <v>34</v>
      </c>
      <c r="G34" s="14">
        <f>MAX(G24:G30)</f>
        <v>90</v>
      </c>
      <c r="H34" s="14">
        <v>4.49</v>
      </c>
      <c r="I34" s="14" t="s">
        <v>43</v>
      </c>
      <c r="J34" s="6">
        <v>4990</v>
      </c>
      <c r="K34" s="2">
        <v>200</v>
      </c>
      <c r="L34" s="2" t="s">
        <v>75</v>
      </c>
      <c r="M34" s="28">
        <v>0.875</v>
      </c>
      <c r="N34" s="6">
        <v>9900</v>
      </c>
      <c r="O34" s="6">
        <v>40</v>
      </c>
    </row>
    <row r="37" spans="1:15" x14ac:dyDescent="0.3">
      <c r="A37" s="17" t="s">
        <v>22</v>
      </c>
    </row>
    <row r="38" spans="1:15" x14ac:dyDescent="0.3">
      <c r="A38" s="18" t="s">
        <v>1</v>
      </c>
      <c r="B38" s="2">
        <v>7</v>
      </c>
      <c r="C38" s="2">
        <v>8</v>
      </c>
      <c r="D38" s="2">
        <v>10</v>
      </c>
      <c r="E38" s="2">
        <v>6</v>
      </c>
      <c r="F38" s="2">
        <v>8</v>
      </c>
      <c r="G38" s="2">
        <v>7</v>
      </c>
      <c r="H38" s="2">
        <v>5</v>
      </c>
      <c r="I38" s="2">
        <v>6</v>
      </c>
      <c r="J38" s="2">
        <v>5</v>
      </c>
      <c r="K38" s="2">
        <v>10</v>
      </c>
      <c r="L38" s="2">
        <v>9</v>
      </c>
      <c r="M38" s="2">
        <v>4</v>
      </c>
      <c r="N38" s="2">
        <v>5</v>
      </c>
      <c r="O38" s="2">
        <v>3</v>
      </c>
    </row>
    <row r="39" spans="1:15" x14ac:dyDescent="0.3">
      <c r="A39" s="18" t="s">
        <v>3</v>
      </c>
      <c r="B39" s="2">
        <v>6</v>
      </c>
      <c r="C39" s="2">
        <v>9</v>
      </c>
      <c r="D39" s="2">
        <v>6</v>
      </c>
      <c r="E39" s="2">
        <v>6</v>
      </c>
      <c r="F39" s="2">
        <v>6</v>
      </c>
      <c r="G39" s="2">
        <v>10</v>
      </c>
      <c r="H39" s="2">
        <v>7</v>
      </c>
      <c r="I39" s="2">
        <v>5</v>
      </c>
      <c r="J39" s="2">
        <v>9</v>
      </c>
      <c r="K39" s="2">
        <v>4</v>
      </c>
      <c r="L39" s="2">
        <v>7</v>
      </c>
      <c r="M39" s="2">
        <v>3</v>
      </c>
      <c r="N39" s="2">
        <v>5</v>
      </c>
      <c r="O39" s="2">
        <v>8</v>
      </c>
    </row>
    <row r="40" spans="1:15" x14ac:dyDescent="0.3">
      <c r="A40" s="18" t="s">
        <v>32</v>
      </c>
      <c r="B40" s="2">
        <v>9</v>
      </c>
      <c r="C40" s="2">
        <v>8</v>
      </c>
      <c r="D40" s="2">
        <v>10</v>
      </c>
      <c r="E40" s="2">
        <v>6</v>
      </c>
      <c r="F40" s="2">
        <v>6</v>
      </c>
      <c r="G40" s="2">
        <v>6</v>
      </c>
      <c r="H40" s="2">
        <v>10</v>
      </c>
      <c r="I40" s="2">
        <v>5</v>
      </c>
      <c r="J40" s="2">
        <v>5</v>
      </c>
      <c r="K40" s="2">
        <v>5</v>
      </c>
      <c r="L40" s="2">
        <v>7</v>
      </c>
      <c r="M40" s="2">
        <v>6</v>
      </c>
      <c r="N40" s="2">
        <v>5</v>
      </c>
      <c r="O40" s="2">
        <v>6</v>
      </c>
    </row>
    <row r="41" spans="1:15" x14ac:dyDescent="0.3">
      <c r="A41" s="18" t="s">
        <v>13</v>
      </c>
      <c r="B41" s="2">
        <v>9</v>
      </c>
      <c r="C41" s="2">
        <v>10</v>
      </c>
      <c r="D41" s="2">
        <v>10</v>
      </c>
      <c r="E41" s="2">
        <v>6</v>
      </c>
      <c r="F41" s="2">
        <v>6</v>
      </c>
      <c r="G41" s="2">
        <v>6</v>
      </c>
      <c r="H41" s="2">
        <v>10</v>
      </c>
      <c r="I41" s="2">
        <v>3</v>
      </c>
      <c r="J41" s="2">
        <v>5</v>
      </c>
      <c r="K41" s="2">
        <v>10</v>
      </c>
      <c r="L41" s="2">
        <v>3</v>
      </c>
      <c r="M41" s="2">
        <v>9</v>
      </c>
      <c r="N41" s="2">
        <v>5</v>
      </c>
      <c r="O41" s="2">
        <v>2</v>
      </c>
    </row>
    <row r="42" spans="1:15" x14ac:dyDescent="0.3">
      <c r="A42" s="18" t="s">
        <v>0</v>
      </c>
      <c r="B42" s="2">
        <v>6</v>
      </c>
      <c r="C42" s="2">
        <v>5</v>
      </c>
      <c r="D42" s="2">
        <v>6</v>
      </c>
      <c r="E42" s="2">
        <v>5</v>
      </c>
      <c r="F42" s="2">
        <v>8</v>
      </c>
      <c r="G42" s="2">
        <v>6</v>
      </c>
      <c r="H42" s="2">
        <v>7</v>
      </c>
      <c r="I42" s="2">
        <v>4</v>
      </c>
      <c r="J42" s="2">
        <v>5</v>
      </c>
      <c r="K42" s="2">
        <v>10</v>
      </c>
      <c r="L42" s="2">
        <v>8</v>
      </c>
      <c r="M42" s="2">
        <v>3</v>
      </c>
      <c r="N42" s="2">
        <v>3</v>
      </c>
      <c r="O42" s="2">
        <v>5</v>
      </c>
    </row>
    <row r="43" spans="1:15" x14ac:dyDescent="0.3">
      <c r="A43" s="18" t="s">
        <v>57</v>
      </c>
      <c r="B43" s="2">
        <v>6</v>
      </c>
      <c r="C43" s="2">
        <v>4</v>
      </c>
      <c r="D43" s="2">
        <v>5</v>
      </c>
      <c r="E43" s="2">
        <v>4</v>
      </c>
      <c r="F43" s="2">
        <v>10</v>
      </c>
      <c r="G43" s="2">
        <v>8</v>
      </c>
      <c r="H43" s="2">
        <v>7</v>
      </c>
      <c r="I43" s="2">
        <v>4</v>
      </c>
      <c r="J43" s="2">
        <v>5</v>
      </c>
      <c r="K43" s="2">
        <v>10</v>
      </c>
      <c r="L43" s="2">
        <v>7</v>
      </c>
      <c r="M43" s="2">
        <v>5</v>
      </c>
      <c r="N43" s="2">
        <v>10</v>
      </c>
      <c r="O43" s="2">
        <v>4</v>
      </c>
    </row>
    <row r="44" spans="1:15" x14ac:dyDescent="0.3">
      <c r="A44" s="18" t="s">
        <v>69</v>
      </c>
      <c r="B44" s="2">
        <v>7</v>
      </c>
      <c r="C44" s="2">
        <v>2</v>
      </c>
      <c r="D44" s="2">
        <v>5</v>
      </c>
      <c r="E44" s="2">
        <v>3</v>
      </c>
      <c r="F44" s="2">
        <v>3</v>
      </c>
      <c r="G44" s="2">
        <v>6</v>
      </c>
      <c r="H44" s="2">
        <v>3</v>
      </c>
      <c r="I44" s="2">
        <v>2</v>
      </c>
      <c r="J44" s="2">
        <v>9</v>
      </c>
      <c r="K44" s="2">
        <v>10</v>
      </c>
      <c r="L44" s="2">
        <v>5</v>
      </c>
      <c r="M44" s="2">
        <v>3</v>
      </c>
      <c r="N44" s="2">
        <v>3</v>
      </c>
      <c r="O44" s="2">
        <v>3</v>
      </c>
    </row>
    <row r="46" spans="1:15" x14ac:dyDescent="0.3">
      <c r="A46" s="19" t="s">
        <v>51</v>
      </c>
      <c r="B46" s="2" t="s">
        <v>53</v>
      </c>
      <c r="C46" s="20" t="s">
        <v>54</v>
      </c>
    </row>
    <row r="47" spans="1:15" x14ac:dyDescent="0.3">
      <c r="A47" s="19" t="s">
        <v>1</v>
      </c>
      <c r="B47" s="2">
        <f>SUMPRODUCT(B38:O38,B32:O32)</f>
        <v>6.7441860465116283</v>
      </c>
      <c r="C47" s="21">
        <f>_xlfn.RANK.EQ(B47,B47:B53)</f>
        <v>4</v>
      </c>
    </row>
    <row r="48" spans="1:15" x14ac:dyDescent="0.3">
      <c r="A48" s="19" t="s">
        <v>3</v>
      </c>
      <c r="B48" s="2">
        <f>SUMPRODUCT(B39:O39,B32:O32)</f>
        <v>6.9069767441860472</v>
      </c>
      <c r="C48" s="21">
        <f>_xlfn.RANK.EQ(B48,B47:B53)</f>
        <v>3</v>
      </c>
    </row>
    <row r="49" spans="1:3" x14ac:dyDescent="0.3">
      <c r="A49" s="19" t="s">
        <v>52</v>
      </c>
      <c r="B49" s="2">
        <f>SUMPRODUCT(B40:O40,B32:O32)</f>
        <v>7.1162790697674447</v>
      </c>
      <c r="C49" s="21">
        <f>_xlfn.RANK.EQ(B49,B47:B53)</f>
        <v>1</v>
      </c>
    </row>
    <row r="50" spans="1:3" x14ac:dyDescent="0.3">
      <c r="A50" s="19" t="s">
        <v>56</v>
      </c>
      <c r="B50" s="2">
        <f>SUMPRODUCT(B41:O41,B32:O32)</f>
        <v>6.9883720930232585</v>
      </c>
      <c r="C50" s="21">
        <f>_xlfn.RANK.EQ(B50,B47:B53)</f>
        <v>2</v>
      </c>
    </row>
    <row r="51" spans="1:3" x14ac:dyDescent="0.3">
      <c r="A51" s="19" t="s">
        <v>0</v>
      </c>
      <c r="B51" s="2">
        <f>SUMPRODUCT(B42:O42,B32:O32)</f>
        <v>5.7093023255813957</v>
      </c>
      <c r="C51" s="21">
        <f>_xlfn.RANK.EQ(B51,B47:B53)</f>
        <v>6</v>
      </c>
    </row>
    <row r="52" spans="1:3" x14ac:dyDescent="0.3">
      <c r="A52" s="19" t="s">
        <v>57</v>
      </c>
      <c r="B52" s="2">
        <f>SUMPRODUCT(B43:O43,B32:O32)</f>
        <v>5.9767441860465125</v>
      </c>
      <c r="C52" s="21">
        <f>_xlfn.RANK.EQ(B52,B47:B53)</f>
        <v>5</v>
      </c>
    </row>
    <row r="53" spans="1:3" x14ac:dyDescent="0.3">
      <c r="A53" s="19" t="s">
        <v>98</v>
      </c>
      <c r="B53" s="2">
        <f>SUMPRODUCT(B44:O44,B32:O32)</f>
        <v>4.4534883720930223</v>
      </c>
      <c r="C53" s="21">
        <f>_xlfn.RANK.EQ(B53,B47:B53)</f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Bodovací metoda-stanovení vah</vt:lpstr>
      <vt:lpstr>Parametry hypotečních úvěrů</vt:lpstr>
      <vt:lpstr>Výběr bank</vt:lpstr>
      <vt:lpstr>Bodovací metoda-výpočet</vt:lpstr>
      <vt:lpstr>Metoda rozkladu vah-váhy</vt:lpstr>
      <vt:lpstr>Metoda rozkladu vah-výpočet</vt:lpstr>
      <vt:lpstr>Respondent žena-metoda bodovací</vt:lpstr>
      <vt:lpstr> Respondent žena-rozklad vah</vt:lpstr>
      <vt:lpstr>Respondent muž-metoda bodovací</vt:lpstr>
      <vt:lpstr>Respondent muž-rozklad vah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Miluše Zachová</dc:creator>
  <cp:lastModifiedBy>Miluše Zachová</cp:lastModifiedBy>
  <dcterms:created xsi:type="dcterms:W3CDTF">2021-11-05T07:10:45Z</dcterms:created>
  <dcterms:modified xsi:type="dcterms:W3CDTF">2022-08-30T09:51:27Z</dcterms:modified>
</cp:coreProperties>
</file>