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terez\Desktop\DP-odevzdání\"/>
    </mc:Choice>
  </mc:AlternateContent>
  <xr:revisionPtr revIDLastSave="0" documentId="13_ncr:1_{53DC5CEB-ED5D-4C74-A51B-1070CF52189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vidované denní pohyby-upravené" sheetId="2" r:id="rId1"/>
    <sheet name="Měsíční výdej dle zaměstnance" sheetId="4" r:id="rId2"/>
    <sheet name="Periodogram" sheetId="9" r:id="rId3"/>
    <sheet name="Standardizace měsíčního výdeje" sheetId="6" r:id="rId4"/>
    <sheet name="Histogram" sheetId="7" r:id="rId5"/>
    <sheet name="P-systém" sheetId="8" r:id="rId6"/>
    <sheet name="Q-systém" sheetId="10" r:id="rId7"/>
    <sheet name="Objednávky 2021" sheetId="11" r:id="rId8"/>
    <sheet name="Společné objednávky 2021" sheetId="14" r:id="rId9"/>
    <sheet name="Společné objednávky 2018" sheetId="12" r:id="rId10"/>
  </sheets>
  <definedNames>
    <definedName name="_xlnm._FilterDatabase" localSheetId="0" hidden="1">'Evidované denní pohyby-upravené'!$A$1:$B$1677</definedName>
    <definedName name="_xlnm._FilterDatabase" localSheetId="2" hidden="1">Periodogram!$B$2:$H$2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4" l="1"/>
  <c r="B16" i="8"/>
  <c r="B17" i="8"/>
  <c r="C257" i="12"/>
  <c r="D257" i="12"/>
  <c r="E257" i="12"/>
  <c r="B257" i="12"/>
  <c r="E255" i="12"/>
  <c r="D255" i="12"/>
  <c r="C255" i="12"/>
  <c r="B255" i="12"/>
  <c r="C10" i="14"/>
  <c r="D10" i="14"/>
  <c r="E10" i="14"/>
  <c r="D4" i="14" l="1"/>
  <c r="E85" i="12" l="1"/>
  <c r="E75" i="12"/>
  <c r="E71" i="12"/>
  <c r="E65" i="12"/>
  <c r="E62" i="12"/>
  <c r="E31" i="12"/>
  <c r="E27" i="12"/>
  <c r="E52" i="12"/>
  <c r="E42" i="12"/>
  <c r="E38" i="12"/>
  <c r="E34" i="12"/>
  <c r="E26" i="11"/>
  <c r="E19" i="11"/>
  <c r="D240" i="12" l="1"/>
  <c r="D224" i="12"/>
  <c r="E224" i="12" s="1"/>
  <c r="D208" i="12"/>
  <c r="D192" i="12"/>
  <c r="D176" i="12"/>
  <c r="D159" i="12"/>
  <c r="D143" i="12"/>
  <c r="E143" i="12" s="1"/>
  <c r="D127" i="12"/>
  <c r="D111" i="12"/>
  <c r="D95" i="12"/>
  <c r="D96" i="12"/>
  <c r="H239" i="12"/>
  <c r="G239" i="12"/>
  <c r="H238" i="12"/>
  <c r="G238" i="12"/>
  <c r="H223" i="12"/>
  <c r="G223" i="12"/>
  <c r="H222" i="12"/>
  <c r="G222" i="12"/>
  <c r="H207" i="12"/>
  <c r="G207" i="12"/>
  <c r="H206" i="12"/>
  <c r="G206" i="12"/>
  <c r="H191" i="12"/>
  <c r="G191" i="12"/>
  <c r="H190" i="12"/>
  <c r="G190" i="12"/>
  <c r="H175" i="12"/>
  <c r="G175" i="12"/>
  <c r="H174" i="12"/>
  <c r="G174" i="12"/>
  <c r="D241" i="12" l="1"/>
  <c r="E240" i="12"/>
  <c r="D225" i="12"/>
  <c r="E225" i="12"/>
  <c r="D226" i="12"/>
  <c r="E226" i="12" s="1"/>
  <c r="E208" i="12"/>
  <c r="D209" i="12"/>
  <c r="G209" i="12" s="1"/>
  <c r="E96" i="12"/>
  <c r="E95" i="12"/>
  <c r="E192" i="12"/>
  <c r="H192" i="12" s="1"/>
  <c r="D193" i="12"/>
  <c r="G193" i="12" s="1"/>
  <c r="D144" i="12"/>
  <c r="E144" i="12" s="1"/>
  <c r="G241" i="12"/>
  <c r="H240" i="12"/>
  <c r="H224" i="12"/>
  <c r="G176" i="12"/>
  <c r="E176" i="12"/>
  <c r="H176" i="12" s="1"/>
  <c r="D177" i="12"/>
  <c r="E159" i="12"/>
  <c r="D160" i="12"/>
  <c r="E127" i="12"/>
  <c r="D128" i="12"/>
  <c r="E111" i="12"/>
  <c r="D112" i="12"/>
  <c r="G240" i="12"/>
  <c r="G224" i="12"/>
  <c r="G192" i="12"/>
  <c r="G208" i="12"/>
  <c r="H208" i="12"/>
  <c r="D242" i="12" l="1"/>
  <c r="E242" i="12"/>
  <c r="E241" i="12"/>
  <c r="H241" i="12" s="1"/>
  <c r="D227" i="12"/>
  <c r="E227" i="12" s="1"/>
  <c r="D210" i="12"/>
  <c r="E209" i="12"/>
  <c r="H209" i="12" s="1"/>
  <c r="D145" i="12"/>
  <c r="E145" i="12" s="1"/>
  <c r="D194" i="12"/>
  <c r="E194" i="12" s="1"/>
  <c r="H194" i="12" s="1"/>
  <c r="E193" i="12"/>
  <c r="H193" i="12" s="1"/>
  <c r="G225" i="12"/>
  <c r="H225" i="12"/>
  <c r="G210" i="12"/>
  <c r="D178" i="12"/>
  <c r="E177" i="12"/>
  <c r="H177" i="12" s="1"/>
  <c r="D161" i="12"/>
  <c r="E160" i="12"/>
  <c r="D129" i="12"/>
  <c r="E128" i="12"/>
  <c r="D113" i="12"/>
  <c r="E113" i="12" s="1"/>
  <c r="E112" i="12"/>
  <c r="G177" i="12"/>
  <c r="D243" i="12" l="1"/>
  <c r="D228" i="12"/>
  <c r="E228" i="12" s="1"/>
  <c r="D146" i="12"/>
  <c r="D147" i="12" s="1"/>
  <c r="D211" i="12"/>
  <c r="E210" i="12"/>
  <c r="H210" i="12" s="1"/>
  <c r="D195" i="12"/>
  <c r="G195" i="12" s="1"/>
  <c r="G194" i="12"/>
  <c r="G242" i="12"/>
  <c r="H242" i="12"/>
  <c r="G226" i="12"/>
  <c r="H226" i="12"/>
  <c r="D179" i="12"/>
  <c r="E178" i="12"/>
  <c r="H178" i="12" s="1"/>
  <c r="D162" i="12"/>
  <c r="E162" i="12" s="1"/>
  <c r="E161" i="12"/>
  <c r="E146" i="12"/>
  <c r="D130" i="12"/>
  <c r="E129" i="12"/>
  <c r="D114" i="12"/>
  <c r="G178" i="12"/>
  <c r="D244" i="12" l="1"/>
  <c r="E244" i="12" s="1"/>
  <c r="E243" i="12"/>
  <c r="H243" i="12" s="1"/>
  <c r="D229" i="12"/>
  <c r="D212" i="12"/>
  <c r="G212" i="12" s="1"/>
  <c r="E212" i="12"/>
  <c r="G211" i="12"/>
  <c r="E211" i="12"/>
  <c r="H211" i="12" s="1"/>
  <c r="E195" i="12"/>
  <c r="H195" i="12" s="1"/>
  <c r="D196" i="12"/>
  <c r="E196" i="12" s="1"/>
  <c r="H196" i="12" s="1"/>
  <c r="G243" i="12"/>
  <c r="G227" i="12"/>
  <c r="H227" i="12"/>
  <c r="D180" i="12"/>
  <c r="E179" i="12"/>
  <c r="H179" i="12" s="1"/>
  <c r="D163" i="12"/>
  <c r="E163" i="12" s="1"/>
  <c r="D148" i="12"/>
  <c r="E147" i="12"/>
  <c r="D131" i="12"/>
  <c r="E130" i="12"/>
  <c r="D115" i="12"/>
  <c r="E114" i="12"/>
  <c r="G179" i="12"/>
  <c r="D245" i="12" l="1"/>
  <c r="D230" i="12"/>
  <c r="E230" i="12" s="1"/>
  <c r="E229" i="12"/>
  <c r="D213" i="12"/>
  <c r="G196" i="12"/>
  <c r="D197" i="12"/>
  <c r="G197" i="12" s="1"/>
  <c r="H244" i="12"/>
  <c r="G244" i="12"/>
  <c r="G228" i="12"/>
  <c r="H228" i="12"/>
  <c r="H212" i="12"/>
  <c r="D181" i="12"/>
  <c r="E180" i="12"/>
  <c r="H180" i="12" s="1"/>
  <c r="D164" i="12"/>
  <c r="E164" i="12" s="1"/>
  <c r="D149" i="12"/>
  <c r="E148" i="12"/>
  <c r="D132" i="12"/>
  <c r="E131" i="12"/>
  <c r="D116" i="12"/>
  <c r="E115" i="12"/>
  <c r="G180" i="12"/>
  <c r="D246" i="12" l="1"/>
  <c r="E245" i="12"/>
  <c r="D231" i="12"/>
  <c r="E231" i="12" s="1"/>
  <c r="D214" i="12"/>
  <c r="G213" i="12"/>
  <c r="E213" i="12"/>
  <c r="H213" i="12" s="1"/>
  <c r="E197" i="12"/>
  <c r="H197" i="12" s="1"/>
  <c r="D198" i="12"/>
  <c r="E198" i="12" s="1"/>
  <c r="H198" i="12" s="1"/>
  <c r="G245" i="12"/>
  <c r="H245" i="12"/>
  <c r="G229" i="12"/>
  <c r="H229" i="12"/>
  <c r="D182" i="12"/>
  <c r="E181" i="12"/>
  <c r="H181" i="12" s="1"/>
  <c r="D165" i="12"/>
  <c r="E165" i="12" s="1"/>
  <c r="D150" i="12"/>
  <c r="E149" i="12"/>
  <c r="D133" i="12"/>
  <c r="E132" i="12"/>
  <c r="D117" i="12"/>
  <c r="E116" i="12"/>
  <c r="G181" i="12"/>
  <c r="D247" i="12" l="1"/>
  <c r="E246" i="12"/>
  <c r="H246" i="12" s="1"/>
  <c r="D232" i="12"/>
  <c r="E232" i="12" s="1"/>
  <c r="D215" i="12"/>
  <c r="G215" i="12" s="1"/>
  <c r="E214" i="12"/>
  <c r="H214" i="12" s="1"/>
  <c r="G198" i="12"/>
  <c r="D199" i="12"/>
  <c r="E199" i="12" s="1"/>
  <c r="H199" i="12" s="1"/>
  <c r="G246" i="12"/>
  <c r="G230" i="12"/>
  <c r="H230" i="12"/>
  <c r="G214" i="12"/>
  <c r="G199" i="12"/>
  <c r="D183" i="12"/>
  <c r="E182" i="12"/>
  <c r="H182" i="12" s="1"/>
  <c r="D166" i="12"/>
  <c r="E166" i="12" s="1"/>
  <c r="D151" i="12"/>
  <c r="E150" i="12"/>
  <c r="D134" i="12"/>
  <c r="E133" i="12"/>
  <c r="D118" i="12"/>
  <c r="E117" i="12"/>
  <c r="G182" i="12"/>
  <c r="D248" i="12" l="1"/>
  <c r="E248" i="12" s="1"/>
  <c r="E247" i="12"/>
  <c r="H247" i="12" s="1"/>
  <c r="D233" i="12"/>
  <c r="E233" i="12" s="1"/>
  <c r="D216" i="12"/>
  <c r="E215" i="12"/>
  <c r="H215" i="12" s="1"/>
  <c r="D200" i="12"/>
  <c r="G200" i="12" s="1"/>
  <c r="G247" i="12"/>
  <c r="H232" i="12"/>
  <c r="G231" i="12"/>
  <c r="H231" i="12"/>
  <c r="D184" i="12"/>
  <c r="E183" i="12"/>
  <c r="H183" i="12" s="1"/>
  <c r="D167" i="12"/>
  <c r="E167" i="12" s="1"/>
  <c r="D152" i="12"/>
  <c r="E152" i="12" s="1"/>
  <c r="E151" i="12"/>
  <c r="D135" i="12"/>
  <c r="E135" i="12" s="1"/>
  <c r="E134" i="12"/>
  <c r="D119" i="12"/>
  <c r="E118" i="12"/>
  <c r="G183" i="12"/>
  <c r="D249" i="12" l="1"/>
  <c r="E249" i="12" s="1"/>
  <c r="H249" i="12" s="1"/>
  <c r="D217" i="12"/>
  <c r="E217" i="12" s="1"/>
  <c r="H217" i="12" s="1"/>
  <c r="G216" i="12"/>
  <c r="E216" i="12"/>
  <c r="H216" i="12" s="1"/>
  <c r="E200" i="12"/>
  <c r="H200" i="12" s="1"/>
  <c r="D201" i="12"/>
  <c r="E201" i="12" s="1"/>
  <c r="H201" i="12" s="1"/>
  <c r="H202" i="12" s="1"/>
  <c r="J202" i="12" s="1"/>
  <c r="E119" i="12"/>
  <c r="D120" i="12"/>
  <c r="E120" i="12" s="1"/>
  <c r="G248" i="12"/>
  <c r="H248" i="12"/>
  <c r="H233" i="12"/>
  <c r="H234" i="12" s="1"/>
  <c r="J234" i="12" s="1"/>
  <c r="G232" i="12"/>
  <c r="D185" i="12"/>
  <c r="E185" i="12" s="1"/>
  <c r="H185" i="12" s="1"/>
  <c r="E184" i="12"/>
  <c r="H184" i="12" s="1"/>
  <c r="D168" i="12"/>
  <c r="E168" i="12" s="1"/>
  <c r="D136" i="12"/>
  <c r="E136" i="12" s="1"/>
  <c r="G184" i="12"/>
  <c r="H218" i="12" l="1"/>
  <c r="J218" i="12" s="1"/>
  <c r="H250" i="12"/>
  <c r="J250" i="12" s="1"/>
  <c r="H186" i="12"/>
  <c r="J186" i="12" s="1"/>
  <c r="G159" i="12" l="1"/>
  <c r="H158" i="12"/>
  <c r="G158" i="12"/>
  <c r="H157" i="12"/>
  <c r="G157" i="12"/>
  <c r="H142" i="12"/>
  <c r="G142" i="12"/>
  <c r="H141" i="12"/>
  <c r="G141" i="12"/>
  <c r="H126" i="12"/>
  <c r="G126" i="12"/>
  <c r="H125" i="12"/>
  <c r="G125" i="12"/>
  <c r="H112" i="12"/>
  <c r="H110" i="12"/>
  <c r="G110" i="12"/>
  <c r="H109" i="12"/>
  <c r="G109" i="12"/>
  <c r="G95" i="12"/>
  <c r="H94" i="12"/>
  <c r="G94" i="12"/>
  <c r="H93" i="12"/>
  <c r="G93" i="12"/>
  <c r="H57" i="12"/>
  <c r="B86" i="12"/>
  <c r="B85" i="12"/>
  <c r="B83" i="12"/>
  <c r="B82" i="12"/>
  <c r="B80" i="12"/>
  <c r="B79" i="12"/>
  <c r="B77" i="12"/>
  <c r="B76" i="12"/>
  <c r="B75" i="12"/>
  <c r="H111" i="12" l="1"/>
  <c r="G128" i="12"/>
  <c r="H129" i="12"/>
  <c r="H113" i="12"/>
  <c r="G112" i="12"/>
  <c r="G145" i="12"/>
  <c r="G111" i="12"/>
  <c r="H127" i="12"/>
  <c r="H128" i="12"/>
  <c r="G143" i="12"/>
  <c r="H144" i="12"/>
  <c r="H143" i="12"/>
  <c r="G127" i="12"/>
  <c r="H95" i="12"/>
  <c r="G144" i="12"/>
  <c r="H145" i="12"/>
  <c r="H159" i="12"/>
  <c r="G160" i="12" l="1"/>
  <c r="G146" i="12"/>
  <c r="G113" i="12"/>
  <c r="H160" i="12"/>
  <c r="D97" i="12"/>
  <c r="G96" i="12"/>
  <c r="H146" i="12"/>
  <c r="H96" i="12"/>
  <c r="G129" i="12"/>
  <c r="H130" i="12"/>
  <c r="B46" i="12"/>
  <c r="B45" i="12"/>
  <c r="B72" i="12"/>
  <c r="B71" i="12"/>
  <c r="B69" i="12"/>
  <c r="B68" i="12"/>
  <c r="B66" i="12"/>
  <c r="B65" i="12"/>
  <c r="B63" i="12"/>
  <c r="B62" i="12"/>
  <c r="B60" i="12"/>
  <c r="B59" i="12"/>
  <c r="E97" i="12" l="1"/>
  <c r="H97" i="12"/>
  <c r="G130" i="12"/>
  <c r="G114" i="12"/>
  <c r="G161" i="12"/>
  <c r="G147" i="12"/>
  <c r="H148" i="12"/>
  <c r="H161" i="12"/>
  <c r="D98" i="12"/>
  <c r="E98" i="12" s="1"/>
  <c r="G97" i="12"/>
  <c r="H114" i="12"/>
  <c r="H147" i="12"/>
  <c r="H26" i="12"/>
  <c r="G84" i="12"/>
  <c r="D58" i="12"/>
  <c r="B50" i="12"/>
  <c r="B49" i="12"/>
  <c r="B48" i="12"/>
  <c r="G51" i="12"/>
  <c r="B43" i="12"/>
  <c r="B42" i="12"/>
  <c r="B39" i="12"/>
  <c r="B38" i="12"/>
  <c r="B36" i="12"/>
  <c r="B35" i="12"/>
  <c r="B31" i="12"/>
  <c r="B32" i="12"/>
  <c r="D19" i="11"/>
  <c r="E15" i="11"/>
  <c r="B29" i="12"/>
  <c r="B28" i="12"/>
  <c r="D27" i="12"/>
  <c r="H98" i="12" l="1"/>
  <c r="H116" i="12"/>
  <c r="G115" i="12"/>
  <c r="G131" i="12"/>
  <c r="H132" i="12"/>
  <c r="G162" i="12"/>
  <c r="H115" i="12"/>
  <c r="D99" i="12"/>
  <c r="G98" i="12"/>
  <c r="G148" i="12"/>
  <c r="H162" i="12"/>
  <c r="H131" i="12"/>
  <c r="D59" i="12"/>
  <c r="D60" i="12" s="1"/>
  <c r="E58" i="12"/>
  <c r="H58" i="12" s="1"/>
  <c r="D28" i="12"/>
  <c r="E28" i="12" s="1"/>
  <c r="H27" i="12"/>
  <c r="E241" i="11"/>
  <c r="E240" i="11"/>
  <c r="E239" i="11"/>
  <c r="D241" i="11"/>
  <c r="D240" i="11"/>
  <c r="D239" i="11"/>
  <c r="C241" i="11"/>
  <c r="C240" i="11"/>
  <c r="C239" i="11"/>
  <c r="B241" i="11"/>
  <c r="B240" i="11"/>
  <c r="B239" i="11"/>
  <c r="G135" i="11"/>
  <c r="E235" i="11"/>
  <c r="E234" i="11"/>
  <c r="E233" i="11"/>
  <c r="D235" i="11"/>
  <c r="D234" i="11"/>
  <c r="D233" i="11"/>
  <c r="C235" i="11"/>
  <c r="C234" i="11"/>
  <c r="C233" i="11"/>
  <c r="B235" i="11"/>
  <c r="B234" i="11"/>
  <c r="B233" i="11"/>
  <c r="E218" i="11"/>
  <c r="E202" i="11"/>
  <c r="E186" i="11"/>
  <c r="E170" i="11"/>
  <c r="E154" i="11"/>
  <c r="E139" i="11"/>
  <c r="E215" i="11"/>
  <c r="E199" i="11"/>
  <c r="E183" i="11"/>
  <c r="E167" i="11"/>
  <c r="E151" i="11"/>
  <c r="E136" i="11"/>
  <c r="E120" i="11"/>
  <c r="E123" i="11"/>
  <c r="E108" i="11"/>
  <c r="E105" i="11"/>
  <c r="E92" i="11"/>
  <c r="E89" i="11"/>
  <c r="E77" i="11"/>
  <c r="E74" i="11"/>
  <c r="E99" i="12" l="1"/>
  <c r="G116" i="12"/>
  <c r="G149" i="12"/>
  <c r="D100" i="12"/>
  <c r="G99" i="12"/>
  <c r="H164" i="12"/>
  <c r="G163" i="12"/>
  <c r="H149" i="12"/>
  <c r="H99" i="12"/>
  <c r="H163" i="12"/>
  <c r="G132" i="12"/>
  <c r="D62" i="12"/>
  <c r="E59" i="12"/>
  <c r="E60" i="12"/>
  <c r="D29" i="12"/>
  <c r="E29" i="12" s="1"/>
  <c r="E30" i="12" s="1"/>
  <c r="H30" i="12" s="1"/>
  <c r="E22" i="12"/>
  <c r="E21" i="12"/>
  <c r="E20" i="12"/>
  <c r="E18" i="12"/>
  <c r="E16" i="12"/>
  <c r="E15" i="12"/>
  <c r="E14" i="12"/>
  <c r="E13" i="12"/>
  <c r="E12" i="12"/>
  <c r="E11" i="12"/>
  <c r="E10" i="12"/>
  <c r="E9" i="12"/>
  <c r="E8" i="12"/>
  <c r="E7" i="12"/>
  <c r="E5" i="12"/>
  <c r="E2" i="12"/>
  <c r="E3" i="12"/>
  <c r="B19" i="12"/>
  <c r="E19" i="12" s="1"/>
  <c r="B17" i="12"/>
  <c r="E17" i="12" s="1"/>
  <c r="B6" i="12"/>
  <c r="E6" i="12" s="1"/>
  <c r="B4" i="12"/>
  <c r="E4" i="12" s="1"/>
  <c r="E100" i="12" l="1"/>
  <c r="G150" i="12"/>
  <c r="H150" i="12"/>
  <c r="D101" i="12"/>
  <c r="G100" i="12"/>
  <c r="G133" i="12"/>
  <c r="G117" i="12"/>
  <c r="H133" i="12"/>
  <c r="H165" i="12"/>
  <c r="G164" i="12"/>
  <c r="H100" i="12"/>
  <c r="H117" i="12"/>
  <c r="E61" i="12"/>
  <c r="H61" i="12" s="1"/>
  <c r="F14" i="12"/>
  <c r="D63" i="12"/>
  <c r="F19" i="12"/>
  <c r="F11" i="12"/>
  <c r="D31" i="12"/>
  <c r="F4" i="12"/>
  <c r="F6" i="12"/>
  <c r="F2" i="12"/>
  <c r="F9" i="12"/>
  <c r="D227" i="11"/>
  <c r="E227" i="11"/>
  <c r="C227" i="11"/>
  <c r="B227" i="11"/>
  <c r="K207" i="11"/>
  <c r="G212" i="11"/>
  <c r="G211" i="11"/>
  <c r="D213" i="11"/>
  <c r="D214" i="11" s="1"/>
  <c r="G214" i="11" s="1"/>
  <c r="H212" i="11"/>
  <c r="H211" i="11"/>
  <c r="E197" i="11"/>
  <c r="K191" i="11"/>
  <c r="G196" i="11"/>
  <c r="G195" i="11"/>
  <c r="D197" i="11"/>
  <c r="D198" i="11" s="1"/>
  <c r="G198" i="11" s="1"/>
  <c r="H196" i="11"/>
  <c r="H195" i="11"/>
  <c r="E165" i="11"/>
  <c r="E166" i="11"/>
  <c r="G180" i="11"/>
  <c r="G179" i="11"/>
  <c r="D181" i="11"/>
  <c r="G181" i="11" s="1"/>
  <c r="H180" i="11"/>
  <c r="H179" i="11"/>
  <c r="E101" i="12" l="1"/>
  <c r="H101" i="12" s="1"/>
  <c r="G134" i="12"/>
  <c r="G151" i="12"/>
  <c r="H152" i="12"/>
  <c r="H119" i="12"/>
  <c r="G118" i="12"/>
  <c r="H134" i="12"/>
  <c r="H151" i="12"/>
  <c r="G165" i="12"/>
  <c r="H118" i="12"/>
  <c r="D102" i="12"/>
  <c r="E102" i="12" s="1"/>
  <c r="H102" i="12" s="1"/>
  <c r="G101" i="12"/>
  <c r="D65" i="12"/>
  <c r="E63" i="12"/>
  <c r="E64" i="12" s="1"/>
  <c r="H64" i="12" s="1"/>
  <c r="D32" i="12"/>
  <c r="E213" i="11"/>
  <c r="H213" i="11" s="1"/>
  <c r="G213" i="11"/>
  <c r="D215" i="11"/>
  <c r="G215" i="11" s="1"/>
  <c r="H215" i="11"/>
  <c r="E214" i="11"/>
  <c r="H214" i="11" s="1"/>
  <c r="E182" i="11"/>
  <c r="E181" i="11"/>
  <c r="H197" i="11"/>
  <c r="G197" i="11"/>
  <c r="E198" i="11"/>
  <c r="H198" i="11" s="1"/>
  <c r="D199" i="11"/>
  <c r="G199" i="11" s="1"/>
  <c r="D182" i="11"/>
  <c r="H181" i="11"/>
  <c r="H153" i="12" l="1"/>
  <c r="J153" i="12" s="1"/>
  <c r="G135" i="12"/>
  <c r="H136" i="12"/>
  <c r="G166" i="12"/>
  <c r="H120" i="12"/>
  <c r="H121" i="12" s="1"/>
  <c r="J121" i="12" s="1"/>
  <c r="G119" i="12"/>
  <c r="H135" i="12"/>
  <c r="D103" i="12"/>
  <c r="G102" i="12"/>
  <c r="H166" i="12"/>
  <c r="D66" i="12"/>
  <c r="E66" i="12" s="1"/>
  <c r="D34" i="12"/>
  <c r="E32" i="12"/>
  <c r="E33" i="12" s="1"/>
  <c r="H33" i="12" s="1"/>
  <c r="D216" i="11"/>
  <c r="G216" i="11" s="1"/>
  <c r="E216" i="11"/>
  <c r="H216" i="11" s="1"/>
  <c r="G182" i="11"/>
  <c r="D200" i="11"/>
  <c r="G200" i="11" s="1"/>
  <c r="H199" i="11"/>
  <c r="D183" i="11"/>
  <c r="G183" i="11" s="1"/>
  <c r="H182" i="11"/>
  <c r="E103" i="12" l="1"/>
  <c r="H103" i="12" s="1"/>
  <c r="E67" i="12"/>
  <c r="H67" i="12" s="1"/>
  <c r="H168" i="12"/>
  <c r="G167" i="12"/>
  <c r="H137" i="12"/>
  <c r="J137" i="12" s="1"/>
  <c r="D104" i="12"/>
  <c r="G103" i="12"/>
  <c r="H167" i="12"/>
  <c r="D68" i="12"/>
  <c r="D35" i="12"/>
  <c r="H34" i="12"/>
  <c r="D217" i="11"/>
  <c r="G217" i="11" s="1"/>
  <c r="E217" i="11"/>
  <c r="H217" i="11" s="1"/>
  <c r="D201" i="11"/>
  <c r="G201" i="11" s="1"/>
  <c r="E200" i="11"/>
  <c r="H200" i="11" s="1"/>
  <c r="D184" i="11"/>
  <c r="G184" i="11" s="1"/>
  <c r="H183" i="11"/>
  <c r="E104" i="12" l="1"/>
  <c r="H104" i="12" s="1"/>
  <c r="H105" i="12" s="1"/>
  <c r="J105" i="12" s="1"/>
  <c r="H169" i="12"/>
  <c r="J169" i="12" s="1"/>
  <c r="D69" i="12"/>
  <c r="E68" i="12"/>
  <c r="D36" i="12"/>
  <c r="E35" i="12"/>
  <c r="D218" i="11"/>
  <c r="G218" i="11" s="1"/>
  <c r="D202" i="11"/>
  <c r="G202" i="11" s="1"/>
  <c r="E201" i="11"/>
  <c r="H201" i="11" s="1"/>
  <c r="D185" i="11"/>
  <c r="G185" i="11" s="1"/>
  <c r="E184" i="11"/>
  <c r="H184" i="11" s="1"/>
  <c r="D71" i="12" l="1"/>
  <c r="E69" i="12"/>
  <c r="E70" i="12" s="1"/>
  <c r="H70" i="12" s="1"/>
  <c r="D38" i="12"/>
  <c r="E36" i="12"/>
  <c r="E37" i="12" s="1"/>
  <c r="H37" i="12" s="1"/>
  <c r="H218" i="11"/>
  <c r="D219" i="11"/>
  <c r="G219" i="11" s="1"/>
  <c r="D203" i="11"/>
  <c r="G203" i="11" s="1"/>
  <c r="H202" i="11"/>
  <c r="D186" i="11"/>
  <c r="G186" i="11" s="1"/>
  <c r="E185" i="11"/>
  <c r="H185" i="11" s="1"/>
  <c r="D72" i="12" l="1"/>
  <c r="E72" i="12" s="1"/>
  <c r="E73" i="12" s="1"/>
  <c r="H73" i="12" s="1"/>
  <c r="D39" i="12"/>
  <c r="E219" i="11"/>
  <c r="H219" i="11" s="1"/>
  <c r="D220" i="11"/>
  <c r="G220" i="11" s="1"/>
  <c r="D204" i="11"/>
  <c r="G204" i="11" s="1"/>
  <c r="E203" i="11"/>
  <c r="H203" i="11" s="1"/>
  <c r="D187" i="11"/>
  <c r="G187" i="11" s="1"/>
  <c r="H186" i="11"/>
  <c r="D74" i="12" l="1"/>
  <c r="E74" i="12"/>
  <c r="H74" i="12" s="1"/>
  <c r="E41" i="12"/>
  <c r="H41" i="12" s="1"/>
  <c r="D41" i="12"/>
  <c r="E39" i="12"/>
  <c r="E40" i="12" s="1"/>
  <c r="H40" i="12" s="1"/>
  <c r="E220" i="11"/>
  <c r="H220" i="11" s="1"/>
  <c r="D221" i="11"/>
  <c r="G221" i="11" s="1"/>
  <c r="E204" i="11"/>
  <c r="H204" i="11" s="1"/>
  <c r="D205" i="11"/>
  <c r="G205" i="11" s="1"/>
  <c r="D188" i="11"/>
  <c r="G188" i="11" s="1"/>
  <c r="E187" i="11"/>
  <c r="H187" i="11" s="1"/>
  <c r="D75" i="12" l="1"/>
  <c r="D42" i="12"/>
  <c r="E221" i="11"/>
  <c r="H221" i="11" s="1"/>
  <c r="D222" i="11"/>
  <c r="E222" i="11" s="1"/>
  <c r="H222" i="11" s="1"/>
  <c r="H223" i="11" s="1"/>
  <c r="J223" i="11" s="1"/>
  <c r="L223" i="11" s="1"/>
  <c r="E205" i="11"/>
  <c r="H205" i="11" s="1"/>
  <c r="D206" i="11"/>
  <c r="E206" i="11" s="1"/>
  <c r="H206" i="11" s="1"/>
  <c r="D189" i="11"/>
  <c r="G189" i="11" s="1"/>
  <c r="E188" i="11"/>
  <c r="H188" i="11" s="1"/>
  <c r="D76" i="12" l="1"/>
  <c r="D43" i="12"/>
  <c r="E43" i="12" s="1"/>
  <c r="H207" i="11"/>
  <c r="J207" i="11" s="1"/>
  <c r="L207" i="11" s="1"/>
  <c r="D190" i="11"/>
  <c r="E190" i="11" s="1"/>
  <c r="H190" i="11" s="1"/>
  <c r="E189" i="11"/>
  <c r="H189" i="11" s="1"/>
  <c r="D77" i="12" l="1"/>
  <c r="E76" i="12"/>
  <c r="D45" i="12"/>
  <c r="E45" i="12" s="1"/>
  <c r="E44" i="12"/>
  <c r="H44" i="12" s="1"/>
  <c r="H191" i="11"/>
  <c r="J191" i="11" s="1"/>
  <c r="L191" i="11" s="1"/>
  <c r="D79" i="12" l="1"/>
  <c r="E79" i="12" s="1"/>
  <c r="E77" i="12"/>
  <c r="E78" i="12" s="1"/>
  <c r="H78" i="12" s="1"/>
  <c r="D46" i="12"/>
  <c r="E46" i="12" s="1"/>
  <c r="G164" i="11"/>
  <c r="G163" i="11"/>
  <c r="D165" i="11"/>
  <c r="G165" i="11" s="1"/>
  <c r="H164" i="11"/>
  <c r="H163" i="11"/>
  <c r="G157" i="11"/>
  <c r="D136" i="11"/>
  <c r="K144" i="11"/>
  <c r="E127" i="11"/>
  <c r="E125" i="11"/>
  <c r="E124" i="11"/>
  <c r="E126" i="11"/>
  <c r="D43" i="11"/>
  <c r="E43" i="11" s="1"/>
  <c r="G150" i="11"/>
  <c r="G149" i="11"/>
  <c r="G148" i="11"/>
  <c r="G147" i="11"/>
  <c r="G133" i="11"/>
  <c r="G134" i="11"/>
  <c r="G132" i="11"/>
  <c r="D149" i="11"/>
  <c r="H148" i="11"/>
  <c r="H147" i="11"/>
  <c r="E134" i="11"/>
  <c r="H134" i="11" s="1"/>
  <c r="D134" i="11"/>
  <c r="D135" i="11" s="1"/>
  <c r="H133" i="11"/>
  <c r="H132" i="11"/>
  <c r="G119" i="11"/>
  <c r="G118" i="11"/>
  <c r="G117" i="11"/>
  <c r="G116" i="11"/>
  <c r="G102" i="11"/>
  <c r="G103" i="11"/>
  <c r="G104" i="11"/>
  <c r="G101" i="11"/>
  <c r="H118" i="11"/>
  <c r="E118" i="11"/>
  <c r="D118" i="11"/>
  <c r="D119" i="11" s="1"/>
  <c r="H117" i="11"/>
  <c r="H116" i="11"/>
  <c r="K113" i="11"/>
  <c r="D103" i="11"/>
  <c r="H102" i="11"/>
  <c r="H101" i="11"/>
  <c r="G88" i="11"/>
  <c r="G87" i="11"/>
  <c r="G86" i="11"/>
  <c r="G85" i="11"/>
  <c r="E57" i="11"/>
  <c r="E56" i="11"/>
  <c r="G71" i="11"/>
  <c r="G72" i="11"/>
  <c r="G73" i="11"/>
  <c r="G70" i="11"/>
  <c r="D87" i="11"/>
  <c r="H86" i="11"/>
  <c r="H85" i="11"/>
  <c r="K82" i="11"/>
  <c r="E72" i="11"/>
  <c r="H72" i="11" s="1"/>
  <c r="D72" i="11"/>
  <c r="D73" i="11" s="1"/>
  <c r="H71" i="11"/>
  <c r="H70" i="11"/>
  <c r="D56" i="11"/>
  <c r="G56" i="11" s="1"/>
  <c r="H55" i="11"/>
  <c r="G55" i="11"/>
  <c r="H54" i="11"/>
  <c r="G54" i="11"/>
  <c r="D41" i="11"/>
  <c r="K51" i="11"/>
  <c r="H39" i="11"/>
  <c r="E41" i="11"/>
  <c r="E42" i="11"/>
  <c r="D42" i="11"/>
  <c r="G41" i="11"/>
  <c r="G40" i="11"/>
  <c r="G39" i="11"/>
  <c r="D80" i="12" l="1"/>
  <c r="E47" i="12"/>
  <c r="H47" i="12" s="1"/>
  <c r="D48" i="12"/>
  <c r="E48" i="12" s="1"/>
  <c r="D45" i="11"/>
  <c r="D44" i="11"/>
  <c r="D166" i="11"/>
  <c r="G166" i="11" s="1"/>
  <c r="H165" i="11"/>
  <c r="G136" i="11"/>
  <c r="E135" i="11"/>
  <c r="H135" i="11" s="1"/>
  <c r="E150" i="11"/>
  <c r="H150" i="11" s="1"/>
  <c r="D150" i="11"/>
  <c r="E149" i="11"/>
  <c r="H149" i="11" s="1"/>
  <c r="E119" i="11"/>
  <c r="H119" i="11" s="1"/>
  <c r="D120" i="11"/>
  <c r="G120" i="11" s="1"/>
  <c r="D104" i="11"/>
  <c r="E103" i="11"/>
  <c r="H103" i="11" s="1"/>
  <c r="E104" i="11"/>
  <c r="H104" i="11" s="1"/>
  <c r="D74" i="11"/>
  <c r="G74" i="11" s="1"/>
  <c r="E73" i="11"/>
  <c r="H73" i="11" s="1"/>
  <c r="D88" i="11"/>
  <c r="E87" i="11"/>
  <c r="H87" i="11" s="1"/>
  <c r="H56" i="11"/>
  <c r="D57" i="11"/>
  <c r="D82" i="12" l="1"/>
  <c r="E82" i="12" s="1"/>
  <c r="E80" i="12"/>
  <c r="E81" i="12" s="1"/>
  <c r="H81" i="12" s="1"/>
  <c r="D49" i="12"/>
  <c r="D46" i="11"/>
  <c r="E45" i="11"/>
  <c r="E44" i="11"/>
  <c r="D167" i="11"/>
  <c r="G167" i="11" s="1"/>
  <c r="H166" i="11"/>
  <c r="H120" i="11"/>
  <c r="D137" i="11"/>
  <c r="G137" i="11" s="1"/>
  <c r="E137" i="11"/>
  <c r="H137" i="11" s="1"/>
  <c r="H151" i="11"/>
  <c r="D151" i="11"/>
  <c r="G151" i="11" s="1"/>
  <c r="H136" i="11"/>
  <c r="D105" i="11"/>
  <c r="G105" i="11" s="1"/>
  <c r="D121" i="11"/>
  <c r="G121" i="11" s="1"/>
  <c r="H74" i="11"/>
  <c r="D89" i="11"/>
  <c r="E88" i="11"/>
  <c r="H88" i="11" s="1"/>
  <c r="D75" i="11"/>
  <c r="G75" i="11" s="1"/>
  <c r="E75" i="11"/>
  <c r="H75" i="11" s="1"/>
  <c r="G57" i="11"/>
  <c r="D58" i="11"/>
  <c r="H57" i="11"/>
  <c r="D83" i="12" l="1"/>
  <c r="D50" i="12"/>
  <c r="E50" i="12" s="1"/>
  <c r="E49" i="12"/>
  <c r="E58" i="11"/>
  <c r="D59" i="11"/>
  <c r="E59" i="11" s="1"/>
  <c r="H59" i="11" s="1"/>
  <c r="D47" i="11"/>
  <c r="E47" i="11"/>
  <c r="E46" i="11"/>
  <c r="D168" i="11"/>
  <c r="G168" i="11" s="1"/>
  <c r="H167" i="11"/>
  <c r="G89" i="11"/>
  <c r="D152" i="11"/>
  <c r="G152" i="11" s="1"/>
  <c r="D138" i="11"/>
  <c r="D106" i="11"/>
  <c r="G106" i="11" s="1"/>
  <c r="H105" i="11"/>
  <c r="D122" i="11"/>
  <c r="G122" i="11" s="1"/>
  <c r="E121" i="11"/>
  <c r="H121" i="11" s="1"/>
  <c r="D90" i="11"/>
  <c r="D76" i="11"/>
  <c r="G76" i="11" s="1"/>
  <c r="E76" i="11"/>
  <c r="H76" i="11" s="1"/>
  <c r="H89" i="11"/>
  <c r="G58" i="11"/>
  <c r="H58" i="11"/>
  <c r="D85" i="12" l="1"/>
  <c r="E83" i="12"/>
  <c r="E84" i="12" s="1"/>
  <c r="H84" i="12" s="1"/>
  <c r="E51" i="12"/>
  <c r="H51" i="12" s="1"/>
  <c r="D52" i="12"/>
  <c r="H52" i="12" s="1"/>
  <c r="D48" i="11"/>
  <c r="E48" i="11"/>
  <c r="D169" i="11"/>
  <c r="G169" i="11" s="1"/>
  <c r="E168" i="11"/>
  <c r="H168" i="11" s="1"/>
  <c r="E138" i="11"/>
  <c r="H138" i="11" s="1"/>
  <c r="G138" i="11"/>
  <c r="D153" i="11"/>
  <c r="G153" i="11" s="1"/>
  <c r="D139" i="11"/>
  <c r="G139" i="11" s="1"/>
  <c r="H139" i="11"/>
  <c r="E152" i="11"/>
  <c r="H152" i="11" s="1"/>
  <c r="E122" i="11"/>
  <c r="H122" i="11" s="1"/>
  <c r="D107" i="11"/>
  <c r="G107" i="11" s="1"/>
  <c r="D123" i="11"/>
  <c r="G123" i="11" s="1"/>
  <c r="E106" i="11"/>
  <c r="H106" i="11" s="1"/>
  <c r="E90" i="11"/>
  <c r="H90" i="11" s="1"/>
  <c r="G90" i="11"/>
  <c r="D77" i="11"/>
  <c r="G77" i="11" s="1"/>
  <c r="D91" i="11"/>
  <c r="G91" i="11" s="1"/>
  <c r="G59" i="11"/>
  <c r="D60" i="11"/>
  <c r="H40" i="11"/>
  <c r="D86" i="12" l="1"/>
  <c r="E86" i="12" s="1"/>
  <c r="H53" i="12"/>
  <c r="J53" i="12" s="1"/>
  <c r="E60" i="11"/>
  <c r="H60" i="11" s="1"/>
  <c r="E61" i="11"/>
  <c r="D49" i="11"/>
  <c r="E49" i="11"/>
  <c r="E169" i="11"/>
  <c r="H169" i="11" s="1"/>
  <c r="D170" i="11"/>
  <c r="G170" i="11" s="1"/>
  <c r="E91" i="11"/>
  <c r="H91" i="11" s="1"/>
  <c r="D154" i="11"/>
  <c r="G154" i="11" s="1"/>
  <c r="E153" i="11"/>
  <c r="H153" i="11" s="1"/>
  <c r="D140" i="11"/>
  <c r="G140" i="11" s="1"/>
  <c r="E140" i="11"/>
  <c r="H140" i="11" s="1"/>
  <c r="D108" i="11"/>
  <c r="G108" i="11" s="1"/>
  <c r="E107" i="11"/>
  <c r="H107" i="11" s="1"/>
  <c r="D124" i="11"/>
  <c r="G124" i="11" s="1"/>
  <c r="H123" i="11"/>
  <c r="D78" i="11"/>
  <c r="G78" i="11" s="1"/>
  <c r="E78" i="11"/>
  <c r="H78" i="11" s="1"/>
  <c r="D92" i="11"/>
  <c r="G92" i="11" s="1"/>
  <c r="H77" i="11"/>
  <c r="G60" i="11"/>
  <c r="D61" i="11"/>
  <c r="G42" i="11"/>
  <c r="H41" i="11"/>
  <c r="E87" i="12" l="1"/>
  <c r="H87" i="12" s="1"/>
  <c r="H88" i="12" s="1"/>
  <c r="J88" i="12" s="1"/>
  <c r="H61" i="11"/>
  <c r="D50" i="11"/>
  <c r="G49" i="11"/>
  <c r="E50" i="11"/>
  <c r="H170" i="11"/>
  <c r="D171" i="11"/>
  <c r="G171" i="11" s="1"/>
  <c r="D155" i="11"/>
  <c r="G155" i="11" s="1"/>
  <c r="D141" i="11"/>
  <c r="G141" i="11" s="1"/>
  <c r="E141" i="11"/>
  <c r="H141" i="11" s="1"/>
  <c r="H154" i="11"/>
  <c r="H124" i="11"/>
  <c r="D109" i="11"/>
  <c r="G109" i="11" s="1"/>
  <c r="D125" i="11"/>
  <c r="G125" i="11" s="1"/>
  <c r="H108" i="11"/>
  <c r="H92" i="11"/>
  <c r="D93" i="11"/>
  <c r="G93" i="11" s="1"/>
  <c r="D79" i="11"/>
  <c r="G79" i="11" s="1"/>
  <c r="G61" i="11"/>
  <c r="D62" i="11"/>
  <c r="H42" i="11"/>
  <c r="G43" i="11"/>
  <c r="E62" i="11" l="1"/>
  <c r="H62" i="11" s="1"/>
  <c r="E171" i="11"/>
  <c r="H171" i="11" s="1"/>
  <c r="D172" i="11"/>
  <c r="G172" i="11" s="1"/>
  <c r="E155" i="11"/>
  <c r="H155" i="11" s="1"/>
  <c r="D156" i="11"/>
  <c r="G156" i="11" s="1"/>
  <c r="D142" i="11"/>
  <c r="G142" i="11" s="1"/>
  <c r="E142" i="11"/>
  <c r="H142" i="11" s="1"/>
  <c r="D126" i="11"/>
  <c r="G126" i="11" s="1"/>
  <c r="H125" i="11"/>
  <c r="D110" i="11"/>
  <c r="G110" i="11" s="1"/>
  <c r="E109" i="11"/>
  <c r="H109" i="11" s="1"/>
  <c r="E93" i="11"/>
  <c r="H93" i="11" s="1"/>
  <c r="D80" i="11"/>
  <c r="G80" i="11" s="1"/>
  <c r="D94" i="11"/>
  <c r="G94" i="11" s="1"/>
  <c r="E79" i="11"/>
  <c r="H79" i="11" s="1"/>
  <c r="G62" i="11"/>
  <c r="D63" i="11"/>
  <c r="G44" i="11"/>
  <c r="H43" i="11"/>
  <c r="E63" i="11" l="1"/>
  <c r="H63" i="11" s="1"/>
  <c r="E172" i="11"/>
  <c r="H172" i="11" s="1"/>
  <c r="D173" i="11"/>
  <c r="G173" i="11" s="1"/>
  <c r="E156" i="11"/>
  <c r="H156" i="11" s="1"/>
  <c r="D157" i="11"/>
  <c r="D143" i="11"/>
  <c r="E143" i="11" s="1"/>
  <c r="H143" i="11" s="1"/>
  <c r="H144" i="11" s="1"/>
  <c r="J144" i="11" s="1"/>
  <c r="H126" i="11"/>
  <c r="D111" i="11"/>
  <c r="G111" i="11" s="1"/>
  <c r="E110" i="11"/>
  <c r="H110" i="11" s="1"/>
  <c r="D127" i="11"/>
  <c r="H127" i="11" s="1"/>
  <c r="E94" i="11"/>
  <c r="H94" i="11" s="1"/>
  <c r="D81" i="11"/>
  <c r="E81" i="11" s="1"/>
  <c r="H81" i="11" s="1"/>
  <c r="H82" i="11" s="1"/>
  <c r="J82" i="11" s="1"/>
  <c r="E80" i="11"/>
  <c r="H80" i="11" s="1"/>
  <c r="D95" i="11"/>
  <c r="G63" i="11"/>
  <c r="D64" i="11"/>
  <c r="E64" i="11" s="1"/>
  <c r="H64" i="11" s="1"/>
  <c r="G45" i="11"/>
  <c r="H44" i="11"/>
  <c r="L144" i="11" l="1"/>
  <c r="E229" i="11" s="1"/>
  <c r="E228" i="11"/>
  <c r="L82" i="11"/>
  <c r="C229" i="11" s="1"/>
  <c r="C228" i="11"/>
  <c r="E173" i="11"/>
  <c r="H173" i="11" s="1"/>
  <c r="D174" i="11"/>
  <c r="E174" i="11" s="1"/>
  <c r="H174" i="11" s="1"/>
  <c r="E157" i="11"/>
  <c r="H157" i="11" s="1"/>
  <c r="H128" i="11"/>
  <c r="J128" i="11" s="1"/>
  <c r="L128" i="11" s="1"/>
  <c r="G95" i="11"/>
  <c r="D158" i="11"/>
  <c r="E158" i="11" s="1"/>
  <c r="H158" i="11" s="1"/>
  <c r="D112" i="11"/>
  <c r="E112" i="11" s="1"/>
  <c r="H112" i="11" s="1"/>
  <c r="E111" i="11"/>
  <c r="H111" i="11" s="1"/>
  <c r="E95" i="11"/>
  <c r="H95" i="11" s="1"/>
  <c r="D96" i="11"/>
  <c r="G64" i="11"/>
  <c r="D65" i="11"/>
  <c r="E65" i="11" s="1"/>
  <c r="H65" i="11" s="1"/>
  <c r="H66" i="11" s="1"/>
  <c r="J66" i="11" s="1"/>
  <c r="L66" i="11" s="1"/>
  <c r="G46" i="11"/>
  <c r="H45" i="11"/>
  <c r="H175" i="11" l="1"/>
  <c r="J175" i="11" s="1"/>
  <c r="L175" i="11" s="1"/>
  <c r="H159" i="11"/>
  <c r="J159" i="11" s="1"/>
  <c r="L159" i="11" s="1"/>
  <c r="E96" i="11"/>
  <c r="H96" i="11" s="1"/>
  <c r="H97" i="11" s="1"/>
  <c r="J97" i="11" s="1"/>
  <c r="L97" i="11" s="1"/>
  <c r="H113" i="11"/>
  <c r="J113" i="11" s="1"/>
  <c r="G47" i="11"/>
  <c r="H46" i="11"/>
  <c r="L113" i="11" l="1"/>
  <c r="D229" i="11" s="1"/>
  <c r="D228" i="11"/>
  <c r="G48" i="11"/>
  <c r="H47" i="11"/>
  <c r="H48" i="11" l="1"/>
  <c r="H50" i="11" l="1"/>
  <c r="H49" i="11"/>
  <c r="H51" i="11" l="1"/>
  <c r="J51" i="11" s="1"/>
  <c r="L51" i="11" l="1"/>
  <c r="B229" i="11" s="1"/>
  <c r="B228" i="11"/>
  <c r="E17" i="11"/>
  <c r="E13" i="11"/>
  <c r="J35" i="11"/>
  <c r="L35" i="11"/>
  <c r="H35" i="11"/>
  <c r="H34" i="11"/>
  <c r="H32" i="11"/>
  <c r="H33" i="11"/>
  <c r="H31" i="11"/>
  <c r="H28" i="11"/>
  <c r="H25" i="11"/>
  <c r="H21" i="11"/>
  <c r="H22" i="11"/>
  <c r="H18" i="11"/>
  <c r="H15" i="11"/>
  <c r="H12" i="11"/>
  <c r="H11" i="11"/>
  <c r="E34" i="11"/>
  <c r="E32" i="11"/>
  <c r="E33" i="11"/>
  <c r="D34" i="11"/>
  <c r="D33" i="11"/>
  <c r="D32" i="11"/>
  <c r="E31" i="11"/>
  <c r="E30" i="11"/>
  <c r="E29" i="11"/>
  <c r="D30" i="11"/>
  <c r="D29" i="11"/>
  <c r="B30" i="11"/>
  <c r="B29" i="11"/>
  <c r="E27" i="11"/>
  <c r="D27" i="11"/>
  <c r="D26" i="11"/>
  <c r="B27" i="11"/>
  <c r="B26" i="11"/>
  <c r="E25" i="11"/>
  <c r="E24" i="11"/>
  <c r="E23" i="11"/>
  <c r="D24" i="11"/>
  <c r="D23" i="11"/>
  <c r="E22" i="11"/>
  <c r="D22" i="11"/>
  <c r="E21" i="11"/>
  <c r="B24" i="11"/>
  <c r="B23" i="11"/>
  <c r="E20" i="11"/>
  <c r="D20" i="11"/>
  <c r="B19" i="11"/>
  <c r="B20" i="11"/>
  <c r="B16" i="11"/>
  <c r="D16" i="11" s="1"/>
  <c r="D14" i="11"/>
  <c r="B17" i="11"/>
  <c r="D13" i="11"/>
  <c r="B14" i="11"/>
  <c r="B13" i="11"/>
  <c r="C3" i="11"/>
  <c r="C4" i="11"/>
  <c r="C5" i="11"/>
  <c r="C6" i="11"/>
  <c r="C7" i="11"/>
  <c r="C2" i="11"/>
  <c r="E16" i="11" l="1"/>
  <c r="D17" i="11"/>
  <c r="E28" i="11" l="1"/>
  <c r="E18" i="11"/>
  <c r="B4" i="10" l="1"/>
  <c r="B19" i="10"/>
  <c r="B6" i="10"/>
  <c r="B7" i="10" s="1"/>
  <c r="B8" i="10" s="1"/>
  <c r="E20" i="10" l="1"/>
  <c r="D20" i="10"/>
  <c r="C20" i="10"/>
  <c r="B20" i="10"/>
  <c r="E19" i="10"/>
  <c r="D19" i="10"/>
  <c r="C19" i="10"/>
  <c r="I5" i="9" l="1"/>
  <c r="I4" i="9"/>
  <c r="I3" i="9"/>
  <c r="K8" i="9"/>
  <c r="L8" i="9" s="1"/>
  <c r="K7" i="9"/>
  <c r="L7" i="9" s="1"/>
  <c r="L6" i="9"/>
  <c r="K6" i="9"/>
  <c r="K5" i="9"/>
  <c r="L5" i="9" s="1"/>
  <c r="K4" i="9"/>
  <c r="L4" i="9" s="1"/>
  <c r="K3" i="9"/>
  <c r="L3" i="9" s="1"/>
  <c r="B6" i="8" l="1"/>
  <c r="B7" i="8" s="1"/>
  <c r="B8" i="8" s="1"/>
  <c r="B4" i="8"/>
  <c r="B1679" i="2"/>
  <c r="B1681" i="2" s="1"/>
  <c r="C54" i="7"/>
  <c r="C53" i="7"/>
  <c r="B31" i="8" l="1"/>
  <c r="E32" i="8"/>
  <c r="D32" i="8"/>
  <c r="C32" i="8"/>
  <c r="B32" i="8"/>
  <c r="B22" i="8"/>
  <c r="E31" i="8"/>
  <c r="E22" i="8"/>
  <c r="E21" i="8"/>
  <c r="D31" i="8"/>
  <c r="D22" i="8"/>
  <c r="D21" i="8"/>
  <c r="C31" i="8"/>
  <c r="C22" i="8"/>
  <c r="C21" i="8"/>
  <c r="B21" i="8"/>
  <c r="B26" i="8"/>
  <c r="F4" i="7"/>
  <c r="F5" i="7" s="1"/>
  <c r="F3" i="7"/>
  <c r="E8" i="7" s="1"/>
  <c r="F2" i="7"/>
  <c r="B27" i="8" l="1"/>
  <c r="E27" i="8"/>
  <c r="E26" i="8"/>
  <c r="E17" i="8"/>
  <c r="E16" i="8"/>
  <c r="D27" i="8"/>
  <c r="D26" i="8"/>
  <c r="D17" i="8"/>
  <c r="D16" i="8"/>
  <c r="C27" i="8"/>
  <c r="C26" i="8"/>
  <c r="C17" i="8"/>
  <c r="C16" i="8"/>
  <c r="E9" i="7"/>
  <c r="E2" i="6"/>
  <c r="E61" i="6"/>
  <c r="E60" i="6"/>
  <c r="E59" i="6"/>
  <c r="E58" i="6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E3" i="6"/>
  <c r="E10" i="7" l="1"/>
  <c r="E11" i="7" l="1"/>
  <c r="E12" i="7" s="1"/>
  <c r="E13" i="7" s="1"/>
  <c r="E14" i="7" s="1"/>
</calcChain>
</file>

<file path=xl/sharedStrings.xml><?xml version="1.0" encoding="utf-8"?>
<sst xmlns="http://schemas.openxmlformats.org/spreadsheetml/2006/main" count="1030" uniqueCount="211">
  <si>
    <t>Datum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</si>
  <si>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</si>
  <si>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</si>
  <si>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</si>
  <si>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</si>
  <si>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</si>
  <si>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</si>
  <si>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</si>
  <si>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</si>
  <si>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</si>
  <si>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</si>
  <si>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</si>
  <si>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</si>
  <si>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Rok</t>
  </si>
  <si>
    <t>Měsíc</t>
  </si>
  <si>
    <t>Počet pracovních dní</t>
  </si>
  <si>
    <t>Sturgesovo pravidlo</t>
  </si>
  <si>
    <t>Počet tříd</t>
  </si>
  <si>
    <t>MIN</t>
  </si>
  <si>
    <t>MAX</t>
  </si>
  <si>
    <t>Šířka intervalů</t>
  </si>
  <si>
    <t>Třídy</t>
  </si>
  <si>
    <t>Další</t>
  </si>
  <si>
    <t>Četnost</t>
  </si>
  <si>
    <t>Horní hranice tříd</t>
  </si>
  <si>
    <t>[165;746]</t>
  </si>
  <si>
    <t>Průměr</t>
  </si>
  <si>
    <t>Směrodatná odchylka</t>
  </si>
  <si>
    <t>(746;1328]</t>
  </si>
  <si>
    <t>(1328;1909]</t>
  </si>
  <si>
    <t>(1909;2491]</t>
  </si>
  <si>
    <t>(2491;3072]</t>
  </si>
  <si>
    <t>(3072;3654]</t>
  </si>
  <si>
    <t>(3654;4235]</t>
  </si>
  <si>
    <t>Suma</t>
  </si>
  <si>
    <t>Dny</t>
  </si>
  <si>
    <t>Denní výdej [SC]</t>
  </si>
  <si>
    <t>Standardizovaný počet dní v měsíci</t>
  </si>
  <si>
    <t>Doba řízení skladu [měsíce]</t>
  </si>
  <si>
    <t>Rozptyl měsíční spotřeby</t>
  </si>
  <si>
    <t>Rozptyl denní spotřeby</t>
  </si>
  <si>
    <t>Dodací lhůta [dny]</t>
  </si>
  <si>
    <t>Perida pro objednávky [měsíce]</t>
  </si>
  <si>
    <t>Perida pro objednávky [dny]</t>
  </si>
  <si>
    <t>Směrodatná odchylka dodací lhůty [dny]</t>
  </si>
  <si>
    <t>Úroveň služeb</t>
  </si>
  <si>
    <t>Signální hladina</t>
  </si>
  <si>
    <t>Pojistná zásoba</t>
  </si>
  <si>
    <t>Za předpokladu proměnné dodací lhůty:</t>
  </si>
  <si>
    <t>Za předpokladu objednávání každé 2 měsíce:</t>
  </si>
  <si>
    <t>Příjem [m^2]</t>
  </si>
  <si>
    <t>Výdej [m^2]</t>
  </si>
  <si>
    <t>Standardizovaný výdej na 21 dní v měsíci [m^2]</t>
  </si>
  <si>
    <t>Průměrná měsíční spotřeba [m^2]</t>
  </si>
  <si>
    <t>Průměrná denní spotřeba [m^2]</t>
  </si>
  <si>
    <t>Směrodatná odchylka měsíční spotřeby [m^2]</t>
  </si>
  <si>
    <t>Směrodatná odchylka denní spotřeby [m^2]</t>
  </si>
  <si>
    <t>Za předpokladu konstantní dodací lhůty</t>
  </si>
  <si>
    <t xml:space="preserve"> </t>
  </si>
  <si>
    <t>Frekven.</t>
  </si>
  <si>
    <t>Perioda</t>
  </si>
  <si>
    <t>Kosínové (koef.)</t>
  </si>
  <si>
    <t>Sínové (koef.)</t>
  </si>
  <si>
    <t>Periodogram</t>
  </si>
  <si>
    <t>Hodnoty</t>
  </si>
  <si>
    <t>Hamming (Váhy)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</si>
  <si>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</si>
  <si>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</si>
  <si>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</si>
  <si>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</si>
  <si>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</si>
  <si>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</si>
  <si>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</si>
  <si>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</si>
  <si>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</si>
  <si>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</si>
  <si>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</si>
  <si>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</si>
  <si>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</si>
  <si>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</si>
  <si>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</si>
  <si>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</si>
  <si>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</si>
  <si>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</si>
  <si>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</si>
  <si>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</si>
  <si>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</si>
  <si>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</si>
  <si>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</si>
  <si>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</si>
  <si>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</si>
  <si>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</si>
  <si>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</si>
  <si>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</si>
  <si>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</si>
  <si>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</si>
  <si>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</si>
  <si>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fisherova statistika</t>
  </si>
  <si>
    <t>p-hodnota</t>
  </si>
  <si>
    <t>počet frekvencí</t>
  </si>
  <si>
    <t>PC [Kč/kg]</t>
  </si>
  <si>
    <t>c1</t>
  </si>
  <si>
    <t>c3</t>
  </si>
  <si>
    <t>Signální hladina [kg]</t>
  </si>
  <si>
    <t>Pojistná zásoba [kg]</t>
  </si>
  <si>
    <t>Datum dodávky</t>
  </si>
  <si>
    <t>Cena objednávky [Kč]</t>
  </si>
  <si>
    <t>Množství [m^2]</t>
  </si>
  <si>
    <t>Období</t>
  </si>
  <si>
    <t>Průměrný denní stav</t>
  </si>
  <si>
    <t>Celkem dní</t>
  </si>
  <si>
    <t>Průměrný denní stav*Celkem dní</t>
  </si>
  <si>
    <t>1.1.2021-31.1.2021</t>
  </si>
  <si>
    <t>1.2.2021-28.2.2021</t>
  </si>
  <si>
    <t>1.3.2021-31.3.2021</t>
  </si>
  <si>
    <t>1.3.2021-30.3.2021</t>
  </si>
  <si>
    <t>1.4.2021-30.4.2021</t>
  </si>
  <si>
    <t>1.4.2021-25.4.2021</t>
  </si>
  <si>
    <t>26.4.2021-30.4.2021</t>
  </si>
  <si>
    <t>1.5.2021-5.5.2021</t>
  </si>
  <si>
    <t>6.5.2021-31.5.2021</t>
  </si>
  <si>
    <t>1.5.2021-31.5.2021</t>
  </si>
  <si>
    <t>1.6.2021-30.6.2021</t>
  </si>
  <si>
    <t>1.7.2021-31.7.2021</t>
  </si>
  <si>
    <t>1.7.2021-7.7.2021</t>
  </si>
  <si>
    <t>8.7.2021-31.7.2021</t>
  </si>
  <si>
    <t>1.8.2021-31.8.2021</t>
  </si>
  <si>
    <t>1.8.2021-12.8.2021</t>
  </si>
  <si>
    <t>13.8.2021-31.8.2021</t>
  </si>
  <si>
    <t>1.9.2021-8.9.2021</t>
  </si>
  <si>
    <t>9.9.2021-30.9.2021</t>
  </si>
  <si>
    <t>1.9.2021-30.9.2021</t>
  </si>
  <si>
    <t>1.10.2021-31.10.2021</t>
  </si>
  <si>
    <t>1.11.2021-30.11.2021</t>
  </si>
  <si>
    <t>1.12.2021-31.12.2021</t>
  </si>
  <si>
    <t>Průměrná zásoba vypočtená váženým průměrem:</t>
  </si>
  <si>
    <t>Skladovací náklady</t>
  </si>
  <si>
    <t>Náklady na objednání</t>
  </si>
  <si>
    <t>Celkové náklady</t>
  </si>
  <si>
    <t>99% úroveň služeb P-systém:</t>
  </si>
  <si>
    <t>Pomocný výpočet</t>
  </si>
  <si>
    <t>Spotřeba [m^2]</t>
  </si>
  <si>
    <t>Stav na skladě ke konci období [m^2]</t>
  </si>
  <si>
    <t>Stav na skladě ke konci měsíce [m^2]</t>
  </si>
  <si>
    <t>95% úroveň služeb P-systém:</t>
  </si>
  <si>
    <t>90% úroveň služeb P-systém:</t>
  </si>
  <si>
    <t>80% úroveň služeb P-systém:</t>
  </si>
  <si>
    <t>99% úroveň služeb P-systém - objednávky každé 2 měsíce:</t>
  </si>
  <si>
    <t>95% úroveň služeb P-systém - objednávky každé 2 měsíce:</t>
  </si>
  <si>
    <t>90% úroveň služeb P-systém - objednávky každé 2 měsíce:</t>
  </si>
  <si>
    <t>80% úroveň služeb P-systém - objednávky každé 2 měsíce:</t>
  </si>
  <si>
    <t>Úroveň služeb [%]</t>
  </si>
  <si>
    <t>Roční náklady na objednání</t>
  </si>
  <si>
    <t>Roční náklady na skladování</t>
  </si>
  <si>
    <t>kg</t>
  </si>
  <si>
    <t>TMEL</t>
  </si>
  <si>
    <t>SITOVINA</t>
  </si>
  <si>
    <t>m^2</t>
  </si>
  <si>
    <t>Množství</t>
  </si>
  <si>
    <t>Jednotky</t>
  </si>
  <si>
    <t>Položka</t>
  </si>
  <si>
    <t>Celková cena za položku [Kč]</t>
  </si>
  <si>
    <t>V případě navýšení objednávek pro bezplatnou dopravu</t>
  </si>
  <si>
    <t>V případě objednávání každé 2 měsíce</t>
  </si>
  <si>
    <t>1.1.2018-31.1.2018</t>
  </si>
  <si>
    <t>1.2.2018-28.2.2018</t>
  </si>
  <si>
    <t>1.3.2018-28.3.2018</t>
  </si>
  <si>
    <t>29.3.2018-31.3.2018</t>
  </si>
  <si>
    <t>1.3.2018-31.3.2018</t>
  </si>
  <si>
    <t>1.4.2018-25.4.2018</t>
  </si>
  <si>
    <t>26.4.2018-30.4.2018</t>
  </si>
  <si>
    <t>1.4.2018-30.4.2018</t>
  </si>
  <si>
    <t>1.5.2018-31.5.2018</t>
  </si>
  <si>
    <t>1.6.2018-30.6.2018</t>
  </si>
  <si>
    <t>1.7.2018-31.7.2018</t>
  </si>
  <si>
    <t>1.6.2018-28.6.2018</t>
  </si>
  <si>
    <t>29.6.2018-30.6.2018</t>
  </si>
  <si>
    <t>1.7.2018-24.7.2018</t>
  </si>
  <si>
    <t>25.7.2018-31.7.2018</t>
  </si>
  <si>
    <t>1.8.2018-31.8.2018</t>
  </si>
  <si>
    <t>4.9.2018-30.9.2018</t>
  </si>
  <si>
    <t>1.9.2018-3.9.2018</t>
  </si>
  <si>
    <t>1.9.2018-30.9.2018</t>
  </si>
  <si>
    <t>1.10.2018-25.10.2018</t>
  </si>
  <si>
    <t>26.10.2018-31.10.2018</t>
  </si>
  <si>
    <t>1.11.2018-7.11.2018</t>
  </si>
  <si>
    <t>1.11.2018-30.11.2018</t>
  </si>
  <si>
    <t>1.10.2018-31.10.2018</t>
  </si>
  <si>
    <t>19.11.2023-30.11.2018</t>
  </si>
  <si>
    <t>8.11.2018-18.11.2018</t>
  </si>
  <si>
    <t>1.12.2018-31.12.2018</t>
  </si>
  <si>
    <t>SÍŤOVINA</t>
  </si>
  <si>
    <t>Spotřeba [kg]</t>
  </si>
  <si>
    <t>Příjem [kg]</t>
  </si>
  <si>
    <t>Stav na skladě ke konci období [kg]</t>
  </si>
  <si>
    <t>29.5.2018-31.5.2018</t>
  </si>
  <si>
    <t>1.5.2018-28.5.2018</t>
  </si>
  <si>
    <t>1.10.2018-11.10.2018</t>
  </si>
  <si>
    <t>12.10.2018-31.10.2018</t>
  </si>
  <si>
    <t>26.9.2018-30.9.2018</t>
  </si>
  <si>
    <t>4.9.2018-25.9.2018</t>
  </si>
  <si>
    <t>8.11.2018-30.11.2018</t>
  </si>
  <si>
    <t>1.12.2018-17.12.2018</t>
  </si>
  <si>
    <t>18.12.2018-31.12.2018</t>
  </si>
  <si>
    <t>Stav na skladě ke konci měsíce [kg]</t>
  </si>
  <si>
    <t>Síťovina</t>
  </si>
  <si>
    <t>Tmel</t>
  </si>
  <si>
    <t>Roční náklady na skladování položky Tmel</t>
  </si>
  <si>
    <t>Roční náklady na skladování položky Síťovina</t>
  </si>
  <si>
    <t>Spektrální analýza</t>
  </si>
  <si>
    <t>Omega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</si>
</sst>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0"/>
    <numFmt numFmtId="165" formatCode="0.00000"/>
    <numFmt numFmtId="166" formatCode="0.000"/>
    <numFmt numFmtId="167" formatCode="#,##0\ &quot;Kč&quot;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0"/>
      </left>
      <right style="thin">
        <color indexed="0"/>
      </right>
      <top/>
      <bottom/>
      <diagonal/>
    </border>
  </borders>
  <cellStyleXfs count="4">
    <xf numFmtId="0" fontId="0" fillId="0" borderId="0"/>
    <xf numFmtId="0" fontId="10" fillId="0" borderId="0"/>
    <xf numFmtId="0" fontId="10" fillId="0" borderId="0"/>
    <xf numFmtId="9" fontId="13" fillId="0" borderId="0" applyFont="0" applyFill="0" applyBorder="0" applyAlignment="0" applyProtection="0"/>
  </cellStyleXfs>
  <cellXfs count="82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0" borderId="2" xfId="0" applyBorder="1"/>
    <xf numFmtId="0" fontId="8" fillId="0" borderId="3" xfId="0" applyFont="1" applyBorder="1" applyAlignment="1">
      <alignment horizontal="center"/>
    </xf>
    <xf numFmtId="0" fontId="9" fillId="0" borderId="0" xfId="0" applyFont="1"/>
    <xf numFmtId="1" fontId="0" fillId="0" borderId="0" xfId="0" applyNumberFormat="1"/>
    <xf numFmtId="9" fontId="0" fillId="0" borderId="0" xfId="0" applyNumberFormat="1"/>
    <xf numFmtId="9" fontId="0" fillId="0" borderId="1" xfId="0" applyNumberFormat="1" applyBorder="1"/>
    <xf numFmtId="0" fontId="11" fillId="2" borderId="4" xfId="1" applyFont="1" applyFill="1" applyBorder="1" applyAlignment="1">
      <alignment horizontal="center" vertical="top" wrapText="1"/>
    </xf>
    <xf numFmtId="0" fontId="11" fillId="2" borderId="4" xfId="1" applyFont="1" applyFill="1" applyBorder="1" applyAlignment="1">
      <alignment horizontal="left" vertical="center"/>
    </xf>
    <xf numFmtId="164" fontId="11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6" fontId="11" fillId="0" borderId="0" xfId="1" applyNumberFormat="1" applyFont="1" applyAlignment="1">
      <alignment horizontal="right" vertical="center"/>
    </xf>
    <xf numFmtId="1" fontId="11" fillId="0" borderId="0" xfId="1" applyNumberFormat="1" applyFont="1" applyAlignment="1">
      <alignment horizontal="right" vertical="center"/>
    </xf>
    <xf numFmtId="1" fontId="12" fillId="0" borderId="0" xfId="1" applyNumberFormat="1" applyFont="1" applyAlignment="1">
      <alignment horizontal="right" vertical="center"/>
    </xf>
    <xf numFmtId="166" fontId="12" fillId="0" borderId="0" xfId="1" applyNumberFormat="1" applyFont="1" applyAlignment="1">
      <alignment horizontal="right" vertical="center"/>
    </xf>
    <xf numFmtId="0" fontId="11" fillId="2" borderId="0" xfId="2" applyFont="1" applyFill="1" applyAlignment="1">
      <alignment horizontal="center" vertical="top" wrapText="1"/>
    </xf>
    <xf numFmtId="1" fontId="0" fillId="0" borderId="1" xfId="0" applyNumberFormat="1" applyBorder="1"/>
    <xf numFmtId="10" fontId="0" fillId="0" borderId="0" xfId="3" applyNumberFormat="1" applyFont="1"/>
    <xf numFmtId="2" fontId="0" fillId="0" borderId="0" xfId="0" applyNumberFormat="1"/>
    <xf numFmtId="14" fontId="0" fillId="0" borderId="1" xfId="0" applyNumberFormat="1" applyBorder="1"/>
    <xf numFmtId="1" fontId="9" fillId="0" borderId="0" xfId="0" applyNumberFormat="1" applyFont="1"/>
    <xf numFmtId="0" fontId="6" fillId="0" borderId="0" xfId="0" applyFont="1"/>
    <xf numFmtId="0" fontId="14" fillId="3" borderId="0" xfId="0" applyFont="1" applyFill="1"/>
    <xf numFmtId="1" fontId="14" fillId="3" borderId="0" xfId="0" applyNumberFormat="1" applyFont="1" applyFill="1"/>
    <xf numFmtId="14" fontId="14" fillId="3" borderId="0" xfId="0" applyNumberFormat="1" applyFont="1" applyFill="1"/>
    <xf numFmtId="0" fontId="14" fillId="0" borderId="0" xfId="0" applyFont="1"/>
    <xf numFmtId="14" fontId="9" fillId="0" borderId="0" xfId="0" applyNumberFormat="1" applyFont="1"/>
    <xf numFmtId="1" fontId="9" fillId="4" borderId="0" xfId="0" applyNumberFormat="1" applyFont="1" applyFill="1"/>
    <xf numFmtId="167" fontId="9" fillId="4" borderId="0" xfId="0" applyNumberFormat="1" applyFont="1" applyFill="1"/>
    <xf numFmtId="0" fontId="0" fillId="0" borderId="1" xfId="0" applyBorder="1" applyAlignment="1">
      <alignment horizontal="center"/>
    </xf>
    <xf numFmtId="0" fontId="5" fillId="0" borderId="0" xfId="0" applyFont="1"/>
    <xf numFmtId="1" fontId="5" fillId="0" borderId="0" xfId="0" applyNumberFormat="1" applyFont="1"/>
    <xf numFmtId="0" fontId="0" fillId="5" borderId="0" xfId="0" applyFill="1"/>
    <xf numFmtId="1" fontId="0" fillId="3" borderId="1" xfId="0" applyNumberForma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" fontId="0" fillId="0" borderId="8" xfId="0" applyNumberFormat="1" applyBorder="1" applyAlignment="1">
      <alignment horizontal="center"/>
    </xf>
    <xf numFmtId="14" fontId="0" fillId="3" borderId="1" xfId="0" applyNumberForma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14" fillId="3" borderId="0" xfId="0" applyFont="1" applyFill="1" applyAlignment="1">
      <alignment horizontal="center" vertical="center"/>
    </xf>
    <xf numFmtId="1" fontId="4" fillId="0" borderId="0" xfId="0" applyNumberFormat="1" applyFont="1"/>
    <xf numFmtId="49" fontId="14" fillId="3" borderId="0" xfId="0" applyNumberFormat="1" applyFont="1" applyFill="1"/>
    <xf numFmtId="16" fontId="14" fillId="3" borderId="0" xfId="0" applyNumberFormat="1" applyFont="1" applyFill="1"/>
    <xf numFmtId="0" fontId="3" fillId="0" borderId="0" xfId="0" applyFont="1"/>
    <xf numFmtId="1" fontId="3" fillId="0" borderId="0" xfId="0" applyNumberFormat="1" applyFont="1"/>
    <xf numFmtId="0" fontId="14" fillId="3" borderId="0" xfId="0" applyFont="1" applyFill="1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/>
    <xf numFmtId="14" fontId="6" fillId="0" borderId="0" xfId="0" applyNumberFormat="1" applyFont="1" applyAlignment="1">
      <alignment horizontal="center"/>
    </xf>
    <xf numFmtId="0" fontId="1" fillId="0" borderId="0" xfId="0" applyFont="1"/>
    <xf numFmtId="1" fontId="1" fillId="0" borderId="0" xfId="0" applyNumberFormat="1" applyFont="1"/>
    <xf numFmtId="14" fontId="1" fillId="0" borderId="0" xfId="0" applyNumberFormat="1" applyFont="1" applyAlignment="1">
      <alignment horizontal="center"/>
    </xf>
    <xf numFmtId="1" fontId="15" fillId="3" borderId="0" xfId="0" applyNumberFormat="1" applyFont="1" applyFill="1"/>
    <xf numFmtId="1" fontId="9" fillId="0" borderId="1" xfId="0" applyNumberFormat="1" applyFont="1" applyBorder="1"/>
    <xf numFmtId="167" fontId="9" fillId="0" borderId="0" xfId="0" applyNumberFormat="1" applyFont="1"/>
    <xf numFmtId="1" fontId="0" fillId="0" borderId="9" xfId="0" applyNumberFormat="1" applyBorder="1"/>
    <xf numFmtId="0" fontId="11" fillId="2" borderId="10" xfId="1" applyFont="1" applyFill="1" applyBorder="1" applyAlignment="1">
      <alignment horizontal="center" vertical="top" wrapText="1"/>
    </xf>
    <xf numFmtId="0" fontId="11" fillId="0" borderId="4" xfId="1" applyFont="1" applyBorder="1" applyAlignment="1">
      <alignment horizontal="left"/>
    </xf>
    <xf numFmtId="0" fontId="10" fillId="0" borderId="0" xfId="1"/>
    <xf numFmtId="0" fontId="11" fillId="0" borderId="4" xfId="1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9" fillId="0" borderId="0" xfId="0" applyFont="1" applyAlignment="1">
      <alignment horizontal="center"/>
    </xf>
    <xf numFmtId="14" fontId="5" fillId="4" borderId="0" xfId="0" applyNumberFormat="1" applyFont="1" applyFill="1" applyAlignment="1">
      <alignment horizontal="center"/>
    </xf>
    <xf numFmtId="14" fontId="6" fillId="4" borderId="0" xfId="0" applyNumberFormat="1" applyFont="1" applyFill="1" applyAlignment="1">
      <alignment horizontal="center"/>
    </xf>
    <xf numFmtId="14" fontId="0" fillId="3" borderId="1" xfId="0" applyNumberFormat="1" applyFill="1" applyBorder="1" applyAlignment="1">
      <alignment horizontal="center" vertical="center"/>
    </xf>
    <xf numFmtId="1" fontId="0" fillId="3" borderId="5" xfId="0" applyNumberFormat="1" applyFill="1" applyBorder="1" applyAlignment="1">
      <alignment horizontal="center" vertical="center"/>
    </xf>
    <xf numFmtId="1" fontId="0" fillId="3" borderId="6" xfId="0" applyNumberFormat="1" applyFill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4" fontId="0" fillId="3" borderId="5" xfId="0" applyNumberFormat="1" applyFill="1" applyBorder="1" applyAlignment="1">
      <alignment horizontal="center" vertical="center"/>
    </xf>
    <xf numFmtId="14" fontId="0" fillId="3" borderId="6" xfId="0" applyNumberForma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6" borderId="0" xfId="0" applyFill="1" applyAlignment="1">
      <alignment horizontal="center"/>
    </xf>
    <xf numFmtId="14" fontId="1" fillId="4" borderId="0" xfId="0" applyNumberFormat="1" applyFont="1" applyFill="1" applyAlignment="1">
      <alignment horizontal="center"/>
    </xf>
  </cellXfs>
  <cellStyles count="4">
    <cellStyle name="Normální" xfId="0" builtinId="0"/>
    <cellStyle name="Normální_data ze statistiky-moje" xfId="2" xr:uid="{A3137FB0-E0D5-4BA2-864E-E94FAC2CED45}"/>
    <cellStyle name="Normální_List2" xfId="1" xr:uid="{B451DE05-BBB9-4990-BDE2-1F9D9C368BD5}"/>
    <cellStyle name="Procenta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'Měsíční výdej dle zaměstnance'!$C$1</c:f>
              <c:strCache>
                <c:ptCount val="1"/>
                <c:pt idx="0">
                  <c:v>Spotřeba [m^2]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'Měsíční výdej dle zaměstnance'!$A$2:$B$61</c:f>
              <c:multiLvlStrCache>
                <c:ptCount val="6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V</c:v>
                  </c:pt>
                  <c:pt idx="5">
                    <c:v>VI</c:v>
                  </c:pt>
                  <c:pt idx="6">
                    <c:v>VII</c:v>
                  </c:pt>
                  <c:pt idx="7">
                    <c:v>VIII</c:v>
                  </c:pt>
                  <c:pt idx="8">
                    <c:v>IX</c:v>
                  </c:pt>
                  <c:pt idx="9">
                    <c:v>X</c:v>
                  </c:pt>
                  <c:pt idx="10">
                    <c:v>XI</c:v>
                  </c:pt>
                  <c:pt idx="11">
                    <c:v>XII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V</c:v>
                  </c:pt>
                  <c:pt idx="17">
                    <c:v>VI</c:v>
                  </c:pt>
                  <c:pt idx="18">
                    <c:v>VII</c:v>
                  </c:pt>
                  <c:pt idx="19">
                    <c:v>VIII</c:v>
                  </c:pt>
                  <c:pt idx="20">
                    <c:v>IX</c:v>
                  </c:pt>
                  <c:pt idx="21">
                    <c:v>X</c:v>
                  </c:pt>
                  <c:pt idx="22">
                    <c:v>XI</c:v>
                  </c:pt>
                  <c:pt idx="23">
                    <c:v>XII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V</c:v>
                  </c:pt>
                  <c:pt idx="29">
                    <c:v>VI</c:v>
                  </c:pt>
                  <c:pt idx="30">
                    <c:v>VII</c:v>
                  </c:pt>
                  <c:pt idx="31">
                    <c:v>VIII</c:v>
                  </c:pt>
                  <c:pt idx="32">
                    <c:v>IX</c:v>
                  </c:pt>
                  <c:pt idx="33">
                    <c:v>X</c:v>
                  </c:pt>
                  <c:pt idx="34">
                    <c:v>XI</c:v>
                  </c:pt>
                  <c:pt idx="35">
                    <c:v>XII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V</c:v>
                  </c:pt>
                  <c:pt idx="41">
                    <c:v>VI</c:v>
                  </c:pt>
                  <c:pt idx="42">
                    <c:v>VII</c:v>
                  </c:pt>
                  <c:pt idx="43">
                    <c:v>VIII</c:v>
                  </c:pt>
                  <c:pt idx="44">
                    <c:v>IX</c:v>
                  </c:pt>
                  <c:pt idx="45">
                    <c:v>X</c:v>
                  </c:pt>
                  <c:pt idx="46">
                    <c:v>XI</c:v>
                  </c:pt>
                  <c:pt idx="47">
                    <c:v>XII</c:v>
                  </c:pt>
                  <c:pt idx="48">
                    <c:v>I</c:v>
                  </c:pt>
                  <c:pt idx="49">
                    <c:v>II</c:v>
                  </c:pt>
                  <c:pt idx="50">
                    <c:v>III</c:v>
                  </c:pt>
                  <c:pt idx="51">
                    <c:v>IV</c:v>
                  </c:pt>
                  <c:pt idx="52">
                    <c:v>V</c:v>
                  </c:pt>
                  <c:pt idx="53">
                    <c:v>VI</c:v>
                  </c:pt>
                  <c:pt idx="54">
                    <c:v>VII</c:v>
                  </c:pt>
                  <c:pt idx="55">
                    <c:v>VIII</c:v>
                  </c:pt>
                  <c:pt idx="56">
                    <c:v>IX</c:v>
                  </c:pt>
                  <c:pt idx="57">
                    <c:v>X</c:v>
                  </c:pt>
                  <c:pt idx="58">
                    <c:v>XI</c:v>
                  </c:pt>
                  <c:pt idx="59">
                    <c:v>XII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</c:lvl>
              </c:multiLvlStrCache>
            </c:multiLvlStrRef>
          </c:cat>
          <c:val>
            <c:numRef>
              <c:f>'Měsíční výdej dle zaměstnance'!$C$2:$C$61</c:f>
              <c:numCache>
                <c:formatCode>General</c:formatCode>
                <c:ptCount val="60"/>
                <c:pt idx="0">
                  <c:v>2860</c:v>
                </c:pt>
                <c:pt idx="1">
                  <c:v>0</c:v>
                </c:pt>
                <c:pt idx="2">
                  <c:v>1375</c:v>
                </c:pt>
                <c:pt idx="3">
                  <c:v>1320</c:v>
                </c:pt>
                <c:pt idx="4">
                  <c:v>880</c:v>
                </c:pt>
                <c:pt idx="5">
                  <c:v>1760</c:v>
                </c:pt>
                <c:pt idx="6">
                  <c:v>770</c:v>
                </c:pt>
                <c:pt idx="7">
                  <c:v>1760</c:v>
                </c:pt>
                <c:pt idx="8">
                  <c:v>3180</c:v>
                </c:pt>
                <c:pt idx="9">
                  <c:v>2200</c:v>
                </c:pt>
                <c:pt idx="10">
                  <c:v>4070</c:v>
                </c:pt>
                <c:pt idx="11">
                  <c:v>2145</c:v>
                </c:pt>
                <c:pt idx="12">
                  <c:v>0</c:v>
                </c:pt>
                <c:pt idx="13">
                  <c:v>0</c:v>
                </c:pt>
                <c:pt idx="14">
                  <c:v>1100</c:v>
                </c:pt>
                <c:pt idx="15">
                  <c:v>1760</c:v>
                </c:pt>
                <c:pt idx="16">
                  <c:v>1815</c:v>
                </c:pt>
                <c:pt idx="17">
                  <c:v>2860</c:v>
                </c:pt>
                <c:pt idx="18">
                  <c:v>1540</c:v>
                </c:pt>
                <c:pt idx="19">
                  <c:v>880</c:v>
                </c:pt>
                <c:pt idx="20">
                  <c:v>1815</c:v>
                </c:pt>
                <c:pt idx="21">
                  <c:v>3080</c:v>
                </c:pt>
                <c:pt idx="22">
                  <c:v>2310</c:v>
                </c:pt>
                <c:pt idx="23">
                  <c:v>3630</c:v>
                </c:pt>
                <c:pt idx="24">
                  <c:v>0</c:v>
                </c:pt>
                <c:pt idx="25">
                  <c:v>165</c:v>
                </c:pt>
                <c:pt idx="26">
                  <c:v>440</c:v>
                </c:pt>
                <c:pt idx="27">
                  <c:v>385</c:v>
                </c:pt>
                <c:pt idx="28">
                  <c:v>1485</c:v>
                </c:pt>
                <c:pt idx="29">
                  <c:v>715</c:v>
                </c:pt>
                <c:pt idx="30">
                  <c:v>3300</c:v>
                </c:pt>
                <c:pt idx="31">
                  <c:v>1155</c:v>
                </c:pt>
                <c:pt idx="32">
                  <c:v>1485</c:v>
                </c:pt>
                <c:pt idx="33">
                  <c:v>440</c:v>
                </c:pt>
                <c:pt idx="34">
                  <c:v>2090</c:v>
                </c:pt>
                <c:pt idx="35">
                  <c:v>2420</c:v>
                </c:pt>
                <c:pt idx="36">
                  <c:v>0</c:v>
                </c:pt>
                <c:pt idx="37">
                  <c:v>660</c:v>
                </c:pt>
                <c:pt idx="38">
                  <c:v>2805</c:v>
                </c:pt>
                <c:pt idx="39">
                  <c:v>1155</c:v>
                </c:pt>
                <c:pt idx="40">
                  <c:v>1870</c:v>
                </c:pt>
                <c:pt idx="41">
                  <c:v>2475</c:v>
                </c:pt>
                <c:pt idx="42">
                  <c:v>2420</c:v>
                </c:pt>
                <c:pt idx="43">
                  <c:v>1375</c:v>
                </c:pt>
                <c:pt idx="44">
                  <c:v>2915</c:v>
                </c:pt>
                <c:pt idx="45">
                  <c:v>2365</c:v>
                </c:pt>
                <c:pt idx="46">
                  <c:v>2310</c:v>
                </c:pt>
                <c:pt idx="47">
                  <c:v>1430</c:v>
                </c:pt>
                <c:pt idx="48">
                  <c:v>0</c:v>
                </c:pt>
                <c:pt idx="49">
                  <c:v>0</c:v>
                </c:pt>
                <c:pt idx="50">
                  <c:v>825</c:v>
                </c:pt>
                <c:pt idx="51">
                  <c:v>2915</c:v>
                </c:pt>
                <c:pt idx="52">
                  <c:v>165</c:v>
                </c:pt>
                <c:pt idx="53">
                  <c:v>1815</c:v>
                </c:pt>
                <c:pt idx="54">
                  <c:v>1870</c:v>
                </c:pt>
                <c:pt idx="55">
                  <c:v>1980</c:v>
                </c:pt>
                <c:pt idx="56">
                  <c:v>2035</c:v>
                </c:pt>
                <c:pt idx="57">
                  <c:v>1045</c:v>
                </c:pt>
                <c:pt idx="58">
                  <c:v>550</c:v>
                </c:pt>
                <c:pt idx="59">
                  <c:v>1375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DD-4114-B29B-51C294D34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6291648"/>
        <c:axId val="536294528"/>
      </c:lineChart>
      <c:catAx>
        <c:axId val="536291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36294528"/>
        <c:crosses val="autoZero"/>
        <c:auto val="1"/>
        <c:lblAlgn val="ctr"/>
        <c:lblOffset val="100"/>
        <c:noMultiLvlLbl val="0"/>
      </c:catAx>
      <c:valAx>
        <c:axId val="536294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36291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Histogram!$G$8:$G$14</c:f>
              <c:strCache>
                <c:ptCount val="7"/>
                <c:pt idx="0">
                  <c:v>[165;746]</c:v>
                </c:pt>
                <c:pt idx="1">
                  <c:v>(746;1328]</c:v>
                </c:pt>
                <c:pt idx="2">
                  <c:v>(1328;1909]</c:v>
                </c:pt>
                <c:pt idx="3">
                  <c:v>(1909;2491]</c:v>
                </c:pt>
                <c:pt idx="4">
                  <c:v>(2491;3072]</c:v>
                </c:pt>
                <c:pt idx="5">
                  <c:v>(3072;3654]</c:v>
                </c:pt>
                <c:pt idx="6">
                  <c:v>(3654;4235]</c:v>
                </c:pt>
              </c:strCache>
            </c:strRef>
          </c:cat>
          <c:val>
            <c:numRef>
              <c:f>Histogram!$H$8:$H$14</c:f>
              <c:numCache>
                <c:formatCode>General</c:formatCode>
                <c:ptCount val="7"/>
                <c:pt idx="0">
                  <c:v>5</c:v>
                </c:pt>
                <c:pt idx="1">
                  <c:v>11</c:v>
                </c:pt>
                <c:pt idx="2">
                  <c:v>12</c:v>
                </c:pt>
                <c:pt idx="3">
                  <c:v>12</c:v>
                </c:pt>
                <c:pt idx="4">
                  <c:v>6</c:v>
                </c:pt>
                <c:pt idx="5">
                  <c:v>2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11-4677-BB99-8A3E228ED4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2720384"/>
        <c:axId val="552720744"/>
      </c:barChart>
      <c:catAx>
        <c:axId val="552720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Třídy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52720744"/>
        <c:crosses val="autoZero"/>
        <c:auto val="1"/>
        <c:lblAlgn val="ctr"/>
        <c:lblOffset val="100"/>
        <c:noMultiLvlLbl val="0"/>
      </c:catAx>
      <c:valAx>
        <c:axId val="552720744"/>
        <c:scaling>
          <c:orientation val="minMax"/>
          <c:max val="12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Četnost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crossAx val="552720384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0</xdr:row>
      <xdr:rowOff>82550</xdr:rowOff>
    </xdr:from>
    <xdr:to>
      <xdr:col>17</xdr:col>
      <xdr:colOff>444500</xdr:colOff>
      <xdr:row>20</xdr:row>
      <xdr:rowOff>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B905B396-4217-4E4C-ACA1-BAB7C61DB6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323850</xdr:colOff>
      <xdr:row>2</xdr:row>
      <xdr:rowOff>101600</xdr:rowOff>
    </xdr:from>
    <xdr:to>
      <xdr:col>15</xdr:col>
      <xdr:colOff>88900</xdr:colOff>
      <xdr:row>15</xdr:row>
      <xdr:rowOff>63500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365294C-4481-38D0-CF84-C94383FFAF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B2C38-9BF1-4F89-BBD9-B0505DBCB9F0}">
  <dimension ref="A1:B1681"/>
  <sheetViews>
    <sheetView tabSelected="1" workbookViewId="0">
      <selection activeCell="C1" sqref="C1"/>
    </sheetView>
  </sheetViews>
  <sheetFormatPr defaultRowHeight="14.5" x14ac:dyDescent="0.35"/>
  <cols>
    <col min="1" max="1" width="14.36328125" style="1" bestFit="1" customWidth="1"/>
    <col min="2" max="2" width="13.81640625" bestFit="1" customWidth="1"/>
  </cols>
  <sheetData>
    <row r="1" spans="1:2" x14ac:dyDescent="0.35">
      <c r="A1" t="s">
        <v>0</v>
      </c>
      <c r="B1" t="s">
        <v>141</v>
      </c>
    </row>
    <row r="2" spans="1:2" x14ac:dyDescent="0.35">
      <c r="A2" s="1">
        <v>40568</v>
      </c>
      <c r="B2">
        <v>350</v>
      </c>
    </row>
    <row r="3" spans="1:2" x14ac:dyDescent="0.35">
      <c r="A3" s="1">
        <v>40568</v>
      </c>
      <c r="B3">
        <v>100</v>
      </c>
    </row>
    <row r="4" spans="1:2" x14ac:dyDescent="0.35">
      <c r="A4" s="1">
        <v>40568</v>
      </c>
      <c r="B4">
        <v>440</v>
      </c>
    </row>
    <row r="5" spans="1:2" x14ac:dyDescent="0.35">
      <c r="A5" s="1">
        <v>40568</v>
      </c>
      <c r="B5">
        <v>350</v>
      </c>
    </row>
    <row r="6" spans="1:2" x14ac:dyDescent="0.35">
      <c r="A6" s="1">
        <v>40583</v>
      </c>
      <c r="B6">
        <v>50</v>
      </c>
    </row>
    <row r="7" spans="1:2" x14ac:dyDescent="0.35">
      <c r="A7" s="1">
        <v>40597</v>
      </c>
      <c r="B7">
        <v>50</v>
      </c>
    </row>
    <row r="8" spans="1:2" x14ac:dyDescent="0.35">
      <c r="A8" s="1">
        <v>40597</v>
      </c>
      <c r="B8">
        <v>110</v>
      </c>
    </row>
    <row r="9" spans="1:2" x14ac:dyDescent="0.35">
      <c r="A9" s="1">
        <v>40598</v>
      </c>
      <c r="B9">
        <v>200</v>
      </c>
    </row>
    <row r="10" spans="1:2" x14ac:dyDescent="0.35">
      <c r="A10" s="1">
        <v>40598</v>
      </c>
      <c r="B10">
        <v>55</v>
      </c>
    </row>
    <row r="11" spans="1:2" x14ac:dyDescent="0.35">
      <c r="A11" s="1">
        <v>40598</v>
      </c>
      <c r="B11">
        <v>-55</v>
      </c>
    </row>
    <row r="12" spans="1:2" x14ac:dyDescent="0.35">
      <c r="A12" s="1">
        <v>40598</v>
      </c>
      <c r="B12">
        <v>55</v>
      </c>
    </row>
    <row r="13" spans="1:2" x14ac:dyDescent="0.35">
      <c r="A13" s="1">
        <v>40598</v>
      </c>
      <c r="B13">
        <v>55</v>
      </c>
    </row>
    <row r="14" spans="1:2" x14ac:dyDescent="0.35">
      <c r="A14" s="1">
        <v>40599</v>
      </c>
      <c r="B14">
        <v>55</v>
      </c>
    </row>
    <row r="15" spans="1:2" x14ac:dyDescent="0.35">
      <c r="A15" s="1">
        <v>40631</v>
      </c>
      <c r="B15">
        <v>40</v>
      </c>
    </row>
    <row r="16" spans="1:2" x14ac:dyDescent="0.35">
      <c r="A16" s="1">
        <v>40631</v>
      </c>
      <c r="B16">
        <v>55</v>
      </c>
    </row>
    <row r="17" spans="1:2" x14ac:dyDescent="0.35">
      <c r="A17" s="1">
        <v>40631</v>
      </c>
      <c r="B17">
        <v>55</v>
      </c>
    </row>
    <row r="18" spans="1:2" x14ac:dyDescent="0.35">
      <c r="A18" s="1">
        <v>40631</v>
      </c>
      <c r="B18">
        <v>20</v>
      </c>
    </row>
    <row r="19" spans="1:2" x14ac:dyDescent="0.35">
      <c r="A19" s="1">
        <v>40632</v>
      </c>
      <c r="B19">
        <v>165</v>
      </c>
    </row>
    <row r="20" spans="1:2" x14ac:dyDescent="0.35">
      <c r="A20" s="1">
        <v>40632</v>
      </c>
      <c r="B20">
        <v>220</v>
      </c>
    </row>
    <row r="21" spans="1:2" x14ac:dyDescent="0.35">
      <c r="A21" s="1">
        <v>40632</v>
      </c>
      <c r="B21">
        <v>55</v>
      </c>
    </row>
    <row r="22" spans="1:2" x14ac:dyDescent="0.35">
      <c r="A22" s="1">
        <v>40632</v>
      </c>
      <c r="B22">
        <v>110</v>
      </c>
    </row>
    <row r="23" spans="1:2" x14ac:dyDescent="0.35">
      <c r="A23" s="1">
        <v>40632</v>
      </c>
      <c r="B23">
        <v>55</v>
      </c>
    </row>
    <row r="24" spans="1:2" x14ac:dyDescent="0.35">
      <c r="A24" s="1">
        <v>40632</v>
      </c>
      <c r="B24">
        <v>55</v>
      </c>
    </row>
    <row r="25" spans="1:2" x14ac:dyDescent="0.35">
      <c r="A25" s="1">
        <v>40632</v>
      </c>
      <c r="B25">
        <v>330</v>
      </c>
    </row>
    <row r="26" spans="1:2" x14ac:dyDescent="0.35">
      <c r="A26" s="1">
        <v>40632</v>
      </c>
      <c r="B26">
        <v>110</v>
      </c>
    </row>
    <row r="27" spans="1:2" x14ac:dyDescent="0.35">
      <c r="A27" s="1">
        <v>40632</v>
      </c>
      <c r="B27">
        <v>495</v>
      </c>
    </row>
    <row r="28" spans="1:2" x14ac:dyDescent="0.35">
      <c r="A28" s="1">
        <v>40632</v>
      </c>
      <c r="B28">
        <v>55</v>
      </c>
    </row>
    <row r="29" spans="1:2" x14ac:dyDescent="0.35">
      <c r="A29" s="1">
        <v>40632</v>
      </c>
      <c r="B29">
        <v>220</v>
      </c>
    </row>
    <row r="30" spans="1:2" x14ac:dyDescent="0.35">
      <c r="A30" s="1">
        <v>40632</v>
      </c>
      <c r="B30">
        <v>55</v>
      </c>
    </row>
    <row r="31" spans="1:2" x14ac:dyDescent="0.35">
      <c r="A31" s="1">
        <v>40653</v>
      </c>
      <c r="B31">
        <v>150</v>
      </c>
    </row>
    <row r="32" spans="1:2" x14ac:dyDescent="0.35">
      <c r="A32" s="1">
        <v>40653</v>
      </c>
      <c r="B32">
        <v>165</v>
      </c>
    </row>
    <row r="33" spans="1:2" x14ac:dyDescent="0.35">
      <c r="A33" s="1">
        <v>40653</v>
      </c>
      <c r="B33">
        <v>330</v>
      </c>
    </row>
    <row r="34" spans="1:2" x14ac:dyDescent="0.35">
      <c r="A34" s="1">
        <v>40653</v>
      </c>
      <c r="B34">
        <v>165</v>
      </c>
    </row>
    <row r="35" spans="1:2" x14ac:dyDescent="0.35">
      <c r="A35" s="1">
        <v>40653</v>
      </c>
      <c r="B35">
        <v>220</v>
      </c>
    </row>
    <row r="36" spans="1:2" x14ac:dyDescent="0.35">
      <c r="A36" s="1">
        <v>40660</v>
      </c>
      <c r="B36">
        <v>220</v>
      </c>
    </row>
    <row r="37" spans="1:2" x14ac:dyDescent="0.35">
      <c r="A37" s="1">
        <v>40665</v>
      </c>
      <c r="B37">
        <v>55</v>
      </c>
    </row>
    <row r="38" spans="1:2" x14ac:dyDescent="0.35">
      <c r="A38" s="1">
        <v>40665</v>
      </c>
      <c r="B38">
        <v>55</v>
      </c>
    </row>
    <row r="39" spans="1:2" x14ac:dyDescent="0.35">
      <c r="A39" s="1">
        <v>40679</v>
      </c>
      <c r="B39">
        <v>55</v>
      </c>
    </row>
    <row r="40" spans="1:2" x14ac:dyDescent="0.35">
      <c r="A40" s="1">
        <v>40679</v>
      </c>
      <c r="B40">
        <v>55</v>
      </c>
    </row>
    <row r="41" spans="1:2" x14ac:dyDescent="0.35">
      <c r="A41" s="1">
        <v>40679</v>
      </c>
      <c r="B41">
        <v>55</v>
      </c>
    </row>
    <row r="42" spans="1:2" x14ac:dyDescent="0.35">
      <c r="A42" s="1">
        <v>40679</v>
      </c>
      <c r="B42">
        <v>55</v>
      </c>
    </row>
    <row r="43" spans="1:2" x14ac:dyDescent="0.35">
      <c r="A43" s="1">
        <v>40680</v>
      </c>
      <c r="B43">
        <v>165</v>
      </c>
    </row>
    <row r="44" spans="1:2" x14ac:dyDescent="0.35">
      <c r="A44" s="1">
        <v>40680</v>
      </c>
      <c r="B44">
        <v>110</v>
      </c>
    </row>
    <row r="45" spans="1:2" x14ac:dyDescent="0.35">
      <c r="A45" s="1">
        <v>40687</v>
      </c>
      <c r="B45">
        <v>440</v>
      </c>
    </row>
    <row r="46" spans="1:2" x14ac:dyDescent="0.35">
      <c r="A46" s="1">
        <v>40687</v>
      </c>
      <c r="B46">
        <v>550</v>
      </c>
    </row>
    <row r="47" spans="1:2" x14ac:dyDescent="0.35">
      <c r="A47" s="1">
        <v>40687</v>
      </c>
      <c r="B47">
        <v>-110</v>
      </c>
    </row>
    <row r="48" spans="1:2" x14ac:dyDescent="0.35">
      <c r="A48" s="1">
        <v>40687</v>
      </c>
      <c r="B48">
        <v>55</v>
      </c>
    </row>
    <row r="49" spans="1:2" x14ac:dyDescent="0.35">
      <c r="A49" s="1">
        <v>40687</v>
      </c>
      <c r="B49">
        <v>55</v>
      </c>
    </row>
    <row r="50" spans="1:2" x14ac:dyDescent="0.35">
      <c r="A50" s="1">
        <v>40687</v>
      </c>
      <c r="B50">
        <v>55</v>
      </c>
    </row>
    <row r="51" spans="1:2" x14ac:dyDescent="0.35">
      <c r="A51" s="1">
        <v>40687</v>
      </c>
      <c r="B51">
        <v>330</v>
      </c>
    </row>
    <row r="52" spans="1:2" x14ac:dyDescent="0.35">
      <c r="A52" s="1">
        <v>40687</v>
      </c>
      <c r="B52">
        <v>-110</v>
      </c>
    </row>
    <row r="53" spans="1:2" x14ac:dyDescent="0.35">
      <c r="A53" s="1">
        <v>40693</v>
      </c>
      <c r="B53">
        <v>110</v>
      </c>
    </row>
    <row r="54" spans="1:2" x14ac:dyDescent="0.35">
      <c r="A54" s="1">
        <v>40693</v>
      </c>
      <c r="B54">
        <v>110</v>
      </c>
    </row>
    <row r="55" spans="1:2" x14ac:dyDescent="0.35">
      <c r="A55" s="1">
        <v>40693</v>
      </c>
      <c r="B55">
        <v>110</v>
      </c>
    </row>
    <row r="56" spans="1:2" x14ac:dyDescent="0.35">
      <c r="A56" s="1">
        <v>40693</v>
      </c>
      <c r="B56">
        <v>-55</v>
      </c>
    </row>
    <row r="57" spans="1:2" x14ac:dyDescent="0.35">
      <c r="A57" s="1">
        <v>40695</v>
      </c>
      <c r="B57">
        <v>55</v>
      </c>
    </row>
    <row r="58" spans="1:2" x14ac:dyDescent="0.35">
      <c r="A58" s="1">
        <v>40695</v>
      </c>
      <c r="B58">
        <v>5</v>
      </c>
    </row>
    <row r="59" spans="1:2" x14ac:dyDescent="0.35">
      <c r="A59" s="1">
        <v>40695</v>
      </c>
      <c r="B59">
        <v>-55</v>
      </c>
    </row>
    <row r="60" spans="1:2" x14ac:dyDescent="0.35">
      <c r="A60" s="1">
        <v>40695</v>
      </c>
      <c r="B60">
        <v>110</v>
      </c>
    </row>
    <row r="61" spans="1:2" x14ac:dyDescent="0.35">
      <c r="A61" s="1">
        <v>40695</v>
      </c>
      <c r="B61">
        <v>55</v>
      </c>
    </row>
    <row r="62" spans="1:2" x14ac:dyDescent="0.35">
      <c r="A62" s="1">
        <v>40696</v>
      </c>
      <c r="B62">
        <v>55</v>
      </c>
    </row>
    <row r="63" spans="1:2" x14ac:dyDescent="0.35">
      <c r="A63" s="1">
        <v>40696</v>
      </c>
      <c r="B63">
        <v>55</v>
      </c>
    </row>
    <row r="64" spans="1:2" x14ac:dyDescent="0.35">
      <c r="A64" s="1">
        <v>40700</v>
      </c>
      <c r="B64">
        <v>55</v>
      </c>
    </row>
    <row r="65" spans="1:2" x14ac:dyDescent="0.35">
      <c r="A65" s="1">
        <v>40700</v>
      </c>
      <c r="B65">
        <v>55</v>
      </c>
    </row>
    <row r="66" spans="1:2" x14ac:dyDescent="0.35">
      <c r="A66" s="1">
        <v>40706</v>
      </c>
      <c r="B66">
        <v>110</v>
      </c>
    </row>
    <row r="67" spans="1:2" x14ac:dyDescent="0.35">
      <c r="A67" s="1">
        <v>40706</v>
      </c>
      <c r="B67">
        <v>55</v>
      </c>
    </row>
    <row r="68" spans="1:2" x14ac:dyDescent="0.35">
      <c r="A68" s="1">
        <v>40706</v>
      </c>
      <c r="B68">
        <v>330</v>
      </c>
    </row>
    <row r="69" spans="1:2" x14ac:dyDescent="0.35">
      <c r="A69" s="1">
        <v>40706</v>
      </c>
      <c r="B69">
        <v>165</v>
      </c>
    </row>
    <row r="70" spans="1:2" x14ac:dyDescent="0.35">
      <c r="A70" s="1">
        <v>40706</v>
      </c>
      <c r="B70">
        <v>55</v>
      </c>
    </row>
    <row r="71" spans="1:2" x14ac:dyDescent="0.35">
      <c r="A71" s="1">
        <v>40724</v>
      </c>
      <c r="B71">
        <v>110</v>
      </c>
    </row>
    <row r="72" spans="1:2" x14ac:dyDescent="0.35">
      <c r="A72" s="1">
        <v>40730</v>
      </c>
      <c r="B72">
        <v>55</v>
      </c>
    </row>
    <row r="73" spans="1:2" x14ac:dyDescent="0.35">
      <c r="A73" s="1">
        <v>40730</v>
      </c>
      <c r="B73">
        <v>165</v>
      </c>
    </row>
    <row r="74" spans="1:2" x14ac:dyDescent="0.35">
      <c r="A74" s="1">
        <v>40730</v>
      </c>
      <c r="B74">
        <v>660</v>
      </c>
    </row>
    <row r="75" spans="1:2" x14ac:dyDescent="0.35">
      <c r="A75" s="1">
        <v>40730</v>
      </c>
      <c r="B75">
        <v>110</v>
      </c>
    </row>
    <row r="76" spans="1:2" x14ac:dyDescent="0.35">
      <c r="A76" s="1">
        <v>40730</v>
      </c>
      <c r="B76">
        <v>550</v>
      </c>
    </row>
    <row r="77" spans="1:2" x14ac:dyDescent="0.35">
      <c r="A77" s="1">
        <v>40730</v>
      </c>
      <c r="B77">
        <v>550</v>
      </c>
    </row>
    <row r="78" spans="1:2" x14ac:dyDescent="0.35">
      <c r="A78" s="1">
        <v>40730</v>
      </c>
      <c r="B78">
        <v>440</v>
      </c>
    </row>
    <row r="79" spans="1:2" x14ac:dyDescent="0.35">
      <c r="A79" s="1">
        <v>40730</v>
      </c>
      <c r="B79">
        <v>55</v>
      </c>
    </row>
    <row r="80" spans="1:2" x14ac:dyDescent="0.35">
      <c r="A80" s="1">
        <v>40731</v>
      </c>
      <c r="B80">
        <v>55</v>
      </c>
    </row>
    <row r="81" spans="1:2" x14ac:dyDescent="0.35">
      <c r="A81" s="1">
        <v>40731</v>
      </c>
      <c r="B81">
        <v>55</v>
      </c>
    </row>
    <row r="82" spans="1:2" x14ac:dyDescent="0.35">
      <c r="A82" s="1">
        <v>40737</v>
      </c>
      <c r="B82">
        <v>275</v>
      </c>
    </row>
    <row r="83" spans="1:2" x14ac:dyDescent="0.35">
      <c r="A83" s="1">
        <v>40737</v>
      </c>
      <c r="B83">
        <v>55</v>
      </c>
    </row>
    <row r="84" spans="1:2" x14ac:dyDescent="0.35">
      <c r="A84" s="1">
        <v>40737</v>
      </c>
      <c r="B84">
        <v>385</v>
      </c>
    </row>
    <row r="85" spans="1:2" x14ac:dyDescent="0.35">
      <c r="A85" s="1">
        <v>40737</v>
      </c>
      <c r="B85">
        <v>110</v>
      </c>
    </row>
    <row r="86" spans="1:2" x14ac:dyDescent="0.35">
      <c r="A86" s="1">
        <v>40737</v>
      </c>
      <c r="B86">
        <v>55</v>
      </c>
    </row>
    <row r="87" spans="1:2" x14ac:dyDescent="0.35">
      <c r="A87" s="1">
        <v>40737</v>
      </c>
      <c r="B87">
        <v>-50</v>
      </c>
    </row>
    <row r="88" spans="1:2" x14ac:dyDescent="0.35">
      <c r="A88" s="1">
        <v>40737</v>
      </c>
      <c r="B88">
        <v>220</v>
      </c>
    </row>
    <row r="89" spans="1:2" x14ac:dyDescent="0.35">
      <c r="A89" s="1">
        <v>40737</v>
      </c>
      <c r="B89">
        <v>330</v>
      </c>
    </row>
    <row r="90" spans="1:2" x14ac:dyDescent="0.35">
      <c r="A90" s="1">
        <v>40737</v>
      </c>
      <c r="B90">
        <v>440</v>
      </c>
    </row>
    <row r="91" spans="1:2" x14ac:dyDescent="0.35">
      <c r="A91" s="1">
        <v>40737</v>
      </c>
      <c r="B91">
        <v>275</v>
      </c>
    </row>
    <row r="92" spans="1:2" x14ac:dyDescent="0.35">
      <c r="A92" s="1">
        <v>40738</v>
      </c>
      <c r="B92">
        <v>110</v>
      </c>
    </row>
    <row r="93" spans="1:2" x14ac:dyDescent="0.35">
      <c r="A93" s="1">
        <v>40738</v>
      </c>
      <c r="B93">
        <v>220</v>
      </c>
    </row>
    <row r="94" spans="1:2" x14ac:dyDescent="0.35">
      <c r="A94" s="1">
        <v>40738</v>
      </c>
      <c r="B94">
        <v>110</v>
      </c>
    </row>
    <row r="95" spans="1:2" x14ac:dyDescent="0.35">
      <c r="A95" s="1">
        <v>40738</v>
      </c>
      <c r="B95">
        <v>55</v>
      </c>
    </row>
    <row r="96" spans="1:2" x14ac:dyDescent="0.35">
      <c r="A96" s="1">
        <v>40738</v>
      </c>
      <c r="B96">
        <v>110</v>
      </c>
    </row>
    <row r="97" spans="1:2" x14ac:dyDescent="0.35">
      <c r="A97" s="1">
        <v>40738</v>
      </c>
      <c r="B97">
        <v>220</v>
      </c>
    </row>
    <row r="98" spans="1:2" x14ac:dyDescent="0.35">
      <c r="A98" s="1">
        <v>40738</v>
      </c>
      <c r="B98">
        <v>110</v>
      </c>
    </row>
    <row r="99" spans="1:2" x14ac:dyDescent="0.35">
      <c r="A99" s="1">
        <v>40738</v>
      </c>
      <c r="B99">
        <v>55</v>
      </c>
    </row>
    <row r="100" spans="1:2" x14ac:dyDescent="0.35">
      <c r="A100" s="1">
        <v>40738</v>
      </c>
      <c r="B100">
        <v>55</v>
      </c>
    </row>
    <row r="101" spans="1:2" x14ac:dyDescent="0.35">
      <c r="A101" s="1">
        <v>40738</v>
      </c>
      <c r="B101">
        <v>-110</v>
      </c>
    </row>
    <row r="102" spans="1:2" x14ac:dyDescent="0.35">
      <c r="A102" s="1">
        <v>40745</v>
      </c>
      <c r="B102">
        <v>55</v>
      </c>
    </row>
    <row r="103" spans="1:2" x14ac:dyDescent="0.35">
      <c r="A103" s="1">
        <v>40745</v>
      </c>
      <c r="B103">
        <v>330</v>
      </c>
    </row>
    <row r="104" spans="1:2" x14ac:dyDescent="0.35">
      <c r="A104" s="1">
        <v>40745</v>
      </c>
      <c r="B104">
        <v>220</v>
      </c>
    </row>
    <row r="105" spans="1:2" x14ac:dyDescent="0.35">
      <c r="A105" s="1">
        <v>40745</v>
      </c>
      <c r="B105">
        <v>660</v>
      </c>
    </row>
    <row r="106" spans="1:2" x14ac:dyDescent="0.35">
      <c r="A106" s="1">
        <v>40745</v>
      </c>
      <c r="B106">
        <v>220</v>
      </c>
    </row>
    <row r="107" spans="1:2" x14ac:dyDescent="0.35">
      <c r="A107" s="1">
        <v>40745</v>
      </c>
      <c r="B107">
        <v>110</v>
      </c>
    </row>
    <row r="108" spans="1:2" x14ac:dyDescent="0.35">
      <c r="A108" s="1">
        <v>40745</v>
      </c>
      <c r="B108">
        <v>220</v>
      </c>
    </row>
    <row r="109" spans="1:2" x14ac:dyDescent="0.35">
      <c r="A109" s="1">
        <v>40745</v>
      </c>
      <c r="B109">
        <v>275</v>
      </c>
    </row>
    <row r="110" spans="1:2" x14ac:dyDescent="0.35">
      <c r="A110" s="1">
        <v>40745</v>
      </c>
      <c r="B110">
        <v>55</v>
      </c>
    </row>
    <row r="111" spans="1:2" x14ac:dyDescent="0.35">
      <c r="A111" s="1">
        <v>40745</v>
      </c>
      <c r="B111">
        <v>220</v>
      </c>
    </row>
    <row r="112" spans="1:2" x14ac:dyDescent="0.35">
      <c r="A112" s="1">
        <v>40745</v>
      </c>
      <c r="B112">
        <v>660</v>
      </c>
    </row>
    <row r="113" spans="1:2" x14ac:dyDescent="0.35">
      <c r="A113" s="1">
        <v>40745</v>
      </c>
      <c r="B113">
        <v>385</v>
      </c>
    </row>
    <row r="114" spans="1:2" x14ac:dyDescent="0.35">
      <c r="A114" s="1">
        <v>40745</v>
      </c>
      <c r="B114">
        <v>110</v>
      </c>
    </row>
    <row r="115" spans="1:2" x14ac:dyDescent="0.35">
      <c r="A115" s="1">
        <v>40745</v>
      </c>
      <c r="B115">
        <v>110</v>
      </c>
    </row>
    <row r="116" spans="1:2" x14ac:dyDescent="0.35">
      <c r="A116" s="1">
        <v>40745</v>
      </c>
      <c r="B116">
        <v>110</v>
      </c>
    </row>
    <row r="117" spans="1:2" x14ac:dyDescent="0.35">
      <c r="A117" s="1">
        <v>40745</v>
      </c>
      <c r="B117">
        <v>110</v>
      </c>
    </row>
    <row r="118" spans="1:2" x14ac:dyDescent="0.35">
      <c r="A118" s="1">
        <v>40755</v>
      </c>
      <c r="B118">
        <v>165</v>
      </c>
    </row>
    <row r="119" spans="1:2" x14ac:dyDescent="0.35">
      <c r="A119" s="1">
        <v>40755</v>
      </c>
      <c r="B119">
        <v>275</v>
      </c>
    </row>
    <row r="120" spans="1:2" x14ac:dyDescent="0.35">
      <c r="A120" s="1">
        <v>40766</v>
      </c>
      <c r="B120">
        <v>55</v>
      </c>
    </row>
    <row r="121" spans="1:2" x14ac:dyDescent="0.35">
      <c r="A121" s="1">
        <v>40779</v>
      </c>
      <c r="B121">
        <v>110</v>
      </c>
    </row>
    <row r="122" spans="1:2" x14ac:dyDescent="0.35">
      <c r="A122" s="1">
        <v>40779</v>
      </c>
      <c r="B122">
        <v>330</v>
      </c>
    </row>
    <row r="123" spans="1:2" x14ac:dyDescent="0.35">
      <c r="A123" s="1">
        <v>40780</v>
      </c>
      <c r="B123">
        <v>50</v>
      </c>
    </row>
    <row r="124" spans="1:2" x14ac:dyDescent="0.35">
      <c r="A124" s="1">
        <v>40780</v>
      </c>
      <c r="B124">
        <v>55</v>
      </c>
    </row>
    <row r="125" spans="1:2" x14ac:dyDescent="0.35">
      <c r="A125" s="1">
        <v>40780</v>
      </c>
      <c r="B125">
        <v>110</v>
      </c>
    </row>
    <row r="126" spans="1:2" x14ac:dyDescent="0.35">
      <c r="A126" s="1">
        <v>40780</v>
      </c>
      <c r="B126">
        <v>110</v>
      </c>
    </row>
    <row r="127" spans="1:2" x14ac:dyDescent="0.35">
      <c r="A127" s="1">
        <v>40780</v>
      </c>
      <c r="B127">
        <v>330</v>
      </c>
    </row>
    <row r="128" spans="1:2" x14ac:dyDescent="0.35">
      <c r="A128" s="1">
        <v>40780</v>
      </c>
      <c r="B128">
        <v>-165</v>
      </c>
    </row>
    <row r="129" spans="1:2" x14ac:dyDescent="0.35">
      <c r="A129" s="1">
        <v>40784</v>
      </c>
      <c r="B129">
        <v>55</v>
      </c>
    </row>
    <row r="130" spans="1:2" x14ac:dyDescent="0.35">
      <c r="A130" s="1">
        <v>40784</v>
      </c>
      <c r="B130">
        <v>110</v>
      </c>
    </row>
    <row r="131" spans="1:2" x14ac:dyDescent="0.35">
      <c r="A131" s="1">
        <v>40784</v>
      </c>
      <c r="B131">
        <v>55</v>
      </c>
    </row>
    <row r="132" spans="1:2" x14ac:dyDescent="0.35">
      <c r="A132" s="1">
        <v>40784</v>
      </c>
      <c r="B132">
        <v>220</v>
      </c>
    </row>
    <row r="133" spans="1:2" x14ac:dyDescent="0.35">
      <c r="A133" s="1">
        <v>40784</v>
      </c>
      <c r="B133">
        <v>100</v>
      </c>
    </row>
    <row r="134" spans="1:2" x14ac:dyDescent="0.35">
      <c r="A134" s="1">
        <v>40799</v>
      </c>
      <c r="B134">
        <v>55</v>
      </c>
    </row>
    <row r="135" spans="1:2" x14ac:dyDescent="0.35">
      <c r="A135" s="1">
        <v>40799</v>
      </c>
      <c r="B135">
        <v>880</v>
      </c>
    </row>
    <row r="136" spans="1:2" x14ac:dyDescent="0.35">
      <c r="A136" s="1">
        <v>40799</v>
      </c>
      <c r="B136">
        <v>300</v>
      </c>
    </row>
    <row r="137" spans="1:2" x14ac:dyDescent="0.35">
      <c r="A137" s="1">
        <v>40799</v>
      </c>
      <c r="B137">
        <v>550</v>
      </c>
    </row>
    <row r="138" spans="1:2" x14ac:dyDescent="0.35">
      <c r="A138" s="1">
        <v>40799</v>
      </c>
      <c r="B138">
        <v>990</v>
      </c>
    </row>
    <row r="139" spans="1:2" x14ac:dyDescent="0.35">
      <c r="A139" s="1">
        <v>40799</v>
      </c>
      <c r="B139">
        <v>330</v>
      </c>
    </row>
    <row r="140" spans="1:2" x14ac:dyDescent="0.35">
      <c r="A140" s="1">
        <v>40799</v>
      </c>
      <c r="B140">
        <v>440</v>
      </c>
    </row>
    <row r="141" spans="1:2" x14ac:dyDescent="0.35">
      <c r="A141" s="1">
        <v>40799</v>
      </c>
      <c r="B141">
        <v>440</v>
      </c>
    </row>
    <row r="142" spans="1:2" x14ac:dyDescent="0.35">
      <c r="A142" s="1">
        <v>40799</v>
      </c>
      <c r="B142">
        <v>440</v>
      </c>
    </row>
    <row r="143" spans="1:2" x14ac:dyDescent="0.35">
      <c r="A143" s="1">
        <v>40799</v>
      </c>
      <c r="B143">
        <v>550</v>
      </c>
    </row>
    <row r="144" spans="1:2" x14ac:dyDescent="0.35">
      <c r="A144" s="1">
        <v>40799</v>
      </c>
      <c r="B144">
        <v>880</v>
      </c>
    </row>
    <row r="145" spans="1:2" x14ac:dyDescent="0.35">
      <c r="A145" s="1">
        <v>40799</v>
      </c>
      <c r="B145">
        <v>55</v>
      </c>
    </row>
    <row r="146" spans="1:2" x14ac:dyDescent="0.35">
      <c r="A146" s="1">
        <v>40800</v>
      </c>
      <c r="B146">
        <v>-30</v>
      </c>
    </row>
    <row r="147" spans="1:2" x14ac:dyDescent="0.35">
      <c r="A147" s="1">
        <v>40807</v>
      </c>
      <c r="B147">
        <v>770</v>
      </c>
    </row>
    <row r="148" spans="1:2" x14ac:dyDescent="0.35">
      <c r="A148" s="1">
        <v>40820</v>
      </c>
      <c r="B148">
        <v>55</v>
      </c>
    </row>
    <row r="149" spans="1:2" x14ac:dyDescent="0.35">
      <c r="A149" s="1">
        <v>40820</v>
      </c>
      <c r="B149">
        <v>110</v>
      </c>
    </row>
    <row r="150" spans="1:2" x14ac:dyDescent="0.35">
      <c r="A150" s="1">
        <v>40820</v>
      </c>
      <c r="B150">
        <v>55</v>
      </c>
    </row>
    <row r="151" spans="1:2" x14ac:dyDescent="0.35">
      <c r="A151" s="1">
        <v>40820</v>
      </c>
      <c r="B151">
        <v>55</v>
      </c>
    </row>
    <row r="152" spans="1:2" x14ac:dyDescent="0.35">
      <c r="A152" s="1">
        <v>40820</v>
      </c>
      <c r="B152">
        <v>55</v>
      </c>
    </row>
    <row r="153" spans="1:2" x14ac:dyDescent="0.35">
      <c r="A153" s="1">
        <v>40820</v>
      </c>
      <c r="B153">
        <v>55</v>
      </c>
    </row>
    <row r="154" spans="1:2" x14ac:dyDescent="0.35">
      <c r="A154" s="1">
        <v>40820</v>
      </c>
      <c r="B154">
        <v>55</v>
      </c>
    </row>
    <row r="155" spans="1:2" x14ac:dyDescent="0.35">
      <c r="A155" s="1">
        <v>40820</v>
      </c>
      <c r="B155">
        <v>220</v>
      </c>
    </row>
    <row r="156" spans="1:2" x14ac:dyDescent="0.35">
      <c r="A156" s="1">
        <v>40820</v>
      </c>
      <c r="B156">
        <v>55</v>
      </c>
    </row>
    <row r="157" spans="1:2" x14ac:dyDescent="0.35">
      <c r="A157" s="1">
        <v>40820</v>
      </c>
      <c r="B157">
        <v>110</v>
      </c>
    </row>
    <row r="158" spans="1:2" x14ac:dyDescent="0.35">
      <c r="A158" s="1">
        <v>40820</v>
      </c>
      <c r="B158">
        <v>165</v>
      </c>
    </row>
    <row r="159" spans="1:2" x14ac:dyDescent="0.35">
      <c r="A159" s="1">
        <v>40820</v>
      </c>
      <c r="B159">
        <v>420</v>
      </c>
    </row>
    <row r="160" spans="1:2" x14ac:dyDescent="0.35">
      <c r="A160" s="1">
        <v>40820</v>
      </c>
      <c r="B160">
        <v>55</v>
      </c>
    </row>
    <row r="161" spans="1:2" x14ac:dyDescent="0.35">
      <c r="A161" s="1">
        <v>40820</v>
      </c>
      <c r="B161">
        <v>55</v>
      </c>
    </row>
    <row r="162" spans="1:2" x14ac:dyDescent="0.35">
      <c r="A162" s="1">
        <v>40822</v>
      </c>
      <c r="B162">
        <v>55</v>
      </c>
    </row>
    <row r="163" spans="1:2" x14ac:dyDescent="0.35">
      <c r="A163" s="1">
        <v>40827</v>
      </c>
      <c r="B163">
        <v>55</v>
      </c>
    </row>
    <row r="164" spans="1:2" x14ac:dyDescent="0.35">
      <c r="A164" s="1">
        <v>40827</v>
      </c>
      <c r="B164">
        <v>110</v>
      </c>
    </row>
    <row r="165" spans="1:2" x14ac:dyDescent="0.35">
      <c r="A165" s="1">
        <v>40827</v>
      </c>
      <c r="B165">
        <v>-55</v>
      </c>
    </row>
    <row r="166" spans="1:2" x14ac:dyDescent="0.35">
      <c r="A166" s="1">
        <v>40827</v>
      </c>
      <c r="B166">
        <v>275</v>
      </c>
    </row>
    <row r="167" spans="1:2" x14ac:dyDescent="0.35">
      <c r="A167" s="1">
        <v>40837</v>
      </c>
      <c r="B167">
        <v>55</v>
      </c>
    </row>
    <row r="168" spans="1:2" x14ac:dyDescent="0.35">
      <c r="A168" s="1">
        <v>40837</v>
      </c>
      <c r="B168">
        <v>55</v>
      </c>
    </row>
    <row r="169" spans="1:2" x14ac:dyDescent="0.35">
      <c r="A169" s="1">
        <v>40837</v>
      </c>
      <c r="B169">
        <v>55</v>
      </c>
    </row>
    <row r="170" spans="1:2" x14ac:dyDescent="0.35">
      <c r="A170" s="1">
        <v>40837</v>
      </c>
      <c r="B170">
        <v>660</v>
      </c>
    </row>
    <row r="171" spans="1:2" x14ac:dyDescent="0.35">
      <c r="A171" s="1">
        <v>40848</v>
      </c>
      <c r="B171">
        <v>55</v>
      </c>
    </row>
    <row r="172" spans="1:2" x14ac:dyDescent="0.35">
      <c r="A172" s="1">
        <v>40848</v>
      </c>
      <c r="B172">
        <v>110</v>
      </c>
    </row>
    <row r="173" spans="1:2" x14ac:dyDescent="0.35">
      <c r="A173" s="1">
        <v>40848</v>
      </c>
      <c r="B173">
        <v>330</v>
      </c>
    </row>
    <row r="174" spans="1:2" x14ac:dyDescent="0.35">
      <c r="A174" s="1">
        <v>40848</v>
      </c>
      <c r="B174">
        <v>110</v>
      </c>
    </row>
    <row r="175" spans="1:2" x14ac:dyDescent="0.35">
      <c r="A175" s="1">
        <v>40848</v>
      </c>
      <c r="B175">
        <v>55</v>
      </c>
    </row>
    <row r="176" spans="1:2" x14ac:dyDescent="0.35">
      <c r="A176" s="1">
        <v>40848</v>
      </c>
      <c r="B176">
        <v>165</v>
      </c>
    </row>
    <row r="177" spans="1:2" x14ac:dyDescent="0.35">
      <c r="A177" s="1">
        <v>40848</v>
      </c>
      <c r="B177">
        <v>550</v>
      </c>
    </row>
    <row r="178" spans="1:2" x14ac:dyDescent="0.35">
      <c r="A178" s="1">
        <v>40848</v>
      </c>
      <c r="B178">
        <v>50</v>
      </c>
    </row>
    <row r="179" spans="1:2" x14ac:dyDescent="0.35">
      <c r="A179" s="1">
        <v>40848</v>
      </c>
      <c r="B179">
        <v>55</v>
      </c>
    </row>
    <row r="180" spans="1:2" x14ac:dyDescent="0.35">
      <c r="A180" s="1">
        <v>40848</v>
      </c>
      <c r="B180">
        <v>110</v>
      </c>
    </row>
    <row r="181" spans="1:2" x14ac:dyDescent="0.35">
      <c r="A181" s="1">
        <v>40848</v>
      </c>
      <c r="B181">
        <v>55</v>
      </c>
    </row>
    <row r="182" spans="1:2" x14ac:dyDescent="0.35">
      <c r="A182" s="1">
        <v>40848</v>
      </c>
      <c r="B182">
        <v>220</v>
      </c>
    </row>
    <row r="183" spans="1:2" x14ac:dyDescent="0.35">
      <c r="A183" s="1">
        <v>40848</v>
      </c>
      <c r="B183">
        <v>165</v>
      </c>
    </row>
    <row r="184" spans="1:2" x14ac:dyDescent="0.35">
      <c r="A184" s="1">
        <v>40849</v>
      </c>
      <c r="B184">
        <v>55</v>
      </c>
    </row>
    <row r="185" spans="1:2" x14ac:dyDescent="0.35">
      <c r="A185" s="1">
        <v>40849</v>
      </c>
      <c r="B185">
        <v>55</v>
      </c>
    </row>
    <row r="186" spans="1:2" x14ac:dyDescent="0.35">
      <c r="A186" s="1">
        <v>40849</v>
      </c>
      <c r="B186">
        <v>25</v>
      </c>
    </row>
    <row r="187" spans="1:2" x14ac:dyDescent="0.35">
      <c r="A187" s="1">
        <v>40849</v>
      </c>
      <c r="B187">
        <v>55</v>
      </c>
    </row>
    <row r="188" spans="1:2" x14ac:dyDescent="0.35">
      <c r="A188" s="1">
        <v>40849</v>
      </c>
      <c r="B188">
        <v>10</v>
      </c>
    </row>
    <row r="189" spans="1:2" x14ac:dyDescent="0.35">
      <c r="A189" s="1">
        <v>40849</v>
      </c>
      <c r="B189">
        <v>55</v>
      </c>
    </row>
    <row r="190" spans="1:2" x14ac:dyDescent="0.35">
      <c r="A190" s="1">
        <v>40849</v>
      </c>
      <c r="B190">
        <v>385</v>
      </c>
    </row>
    <row r="191" spans="1:2" x14ac:dyDescent="0.35">
      <c r="A191" s="1">
        <v>40849</v>
      </c>
      <c r="B191">
        <v>110</v>
      </c>
    </row>
    <row r="192" spans="1:2" x14ac:dyDescent="0.35">
      <c r="A192" s="1">
        <v>40855</v>
      </c>
      <c r="B192">
        <v>375</v>
      </c>
    </row>
    <row r="193" spans="1:2" x14ac:dyDescent="0.35">
      <c r="A193" s="1">
        <v>40855</v>
      </c>
      <c r="B193">
        <v>330</v>
      </c>
    </row>
    <row r="194" spans="1:2" x14ac:dyDescent="0.35">
      <c r="A194" s="1">
        <v>40855</v>
      </c>
      <c r="B194">
        <v>335</v>
      </c>
    </row>
    <row r="195" spans="1:2" x14ac:dyDescent="0.35">
      <c r="A195" s="1">
        <v>40863</v>
      </c>
      <c r="B195">
        <v>55</v>
      </c>
    </row>
    <row r="196" spans="1:2" x14ac:dyDescent="0.35">
      <c r="A196" s="1">
        <v>40863</v>
      </c>
      <c r="B196">
        <v>210</v>
      </c>
    </row>
    <row r="197" spans="1:2" x14ac:dyDescent="0.35">
      <c r="A197" s="1">
        <v>40865</v>
      </c>
      <c r="B197">
        <v>220</v>
      </c>
    </row>
    <row r="198" spans="1:2" x14ac:dyDescent="0.35">
      <c r="A198" s="1">
        <v>40865</v>
      </c>
      <c r="B198">
        <v>165</v>
      </c>
    </row>
    <row r="199" spans="1:2" x14ac:dyDescent="0.35">
      <c r="A199" s="1">
        <v>40865</v>
      </c>
      <c r="B199">
        <v>55</v>
      </c>
    </row>
    <row r="200" spans="1:2" x14ac:dyDescent="0.35">
      <c r="A200" s="1">
        <v>40865</v>
      </c>
      <c r="B200">
        <v>55</v>
      </c>
    </row>
    <row r="201" spans="1:2" x14ac:dyDescent="0.35">
      <c r="A201" s="1">
        <v>40865</v>
      </c>
      <c r="B201">
        <v>55</v>
      </c>
    </row>
    <row r="202" spans="1:2" x14ac:dyDescent="0.35">
      <c r="A202" s="1">
        <v>40865</v>
      </c>
      <c r="B202">
        <v>55</v>
      </c>
    </row>
    <row r="203" spans="1:2" x14ac:dyDescent="0.35">
      <c r="A203" s="1">
        <v>40865</v>
      </c>
      <c r="B203">
        <v>165</v>
      </c>
    </row>
    <row r="204" spans="1:2" x14ac:dyDescent="0.35">
      <c r="A204" s="1">
        <v>40865</v>
      </c>
      <c r="B204">
        <v>55</v>
      </c>
    </row>
    <row r="205" spans="1:2" x14ac:dyDescent="0.35">
      <c r="A205" s="1">
        <v>40865</v>
      </c>
      <c r="B205">
        <v>165</v>
      </c>
    </row>
    <row r="206" spans="1:2" x14ac:dyDescent="0.35">
      <c r="A206" s="1">
        <v>40865</v>
      </c>
      <c r="B206">
        <v>330</v>
      </c>
    </row>
    <row r="207" spans="1:2" x14ac:dyDescent="0.35">
      <c r="A207" s="1">
        <v>40865</v>
      </c>
      <c r="B207">
        <v>55</v>
      </c>
    </row>
    <row r="208" spans="1:2" x14ac:dyDescent="0.35">
      <c r="A208" s="1">
        <v>40865</v>
      </c>
      <c r="B208">
        <v>55</v>
      </c>
    </row>
    <row r="209" spans="1:2" x14ac:dyDescent="0.35">
      <c r="A209" s="1">
        <v>40865</v>
      </c>
      <c r="B209">
        <v>110</v>
      </c>
    </row>
    <row r="210" spans="1:2" x14ac:dyDescent="0.35">
      <c r="A210" s="1">
        <v>40865</v>
      </c>
      <c r="B210">
        <v>55</v>
      </c>
    </row>
    <row r="211" spans="1:2" x14ac:dyDescent="0.35">
      <c r="A211" s="1">
        <v>40865</v>
      </c>
      <c r="B211">
        <v>55</v>
      </c>
    </row>
    <row r="212" spans="1:2" x14ac:dyDescent="0.35">
      <c r="A212" s="1">
        <v>40868</v>
      </c>
      <c r="B212">
        <v>330</v>
      </c>
    </row>
    <row r="213" spans="1:2" x14ac:dyDescent="0.35">
      <c r="A213" s="1">
        <v>40868</v>
      </c>
      <c r="B213">
        <v>220</v>
      </c>
    </row>
    <row r="214" spans="1:2" x14ac:dyDescent="0.35">
      <c r="A214" s="1">
        <v>40868</v>
      </c>
      <c r="B214">
        <v>165</v>
      </c>
    </row>
    <row r="215" spans="1:2" x14ac:dyDescent="0.35">
      <c r="A215" s="1">
        <v>40872</v>
      </c>
      <c r="B215">
        <v>55</v>
      </c>
    </row>
    <row r="216" spans="1:2" x14ac:dyDescent="0.35">
      <c r="A216" s="1">
        <v>40895</v>
      </c>
      <c r="B216">
        <v>55</v>
      </c>
    </row>
    <row r="217" spans="1:2" x14ac:dyDescent="0.35">
      <c r="A217" s="1">
        <v>40895</v>
      </c>
      <c r="B217">
        <v>110</v>
      </c>
    </row>
    <row r="218" spans="1:2" x14ac:dyDescent="0.35">
      <c r="A218" s="1">
        <v>40895</v>
      </c>
      <c r="B218">
        <v>55</v>
      </c>
    </row>
    <row r="219" spans="1:2" x14ac:dyDescent="0.35">
      <c r="A219" s="1">
        <v>40895</v>
      </c>
      <c r="B219">
        <v>220</v>
      </c>
    </row>
    <row r="220" spans="1:2" x14ac:dyDescent="0.35">
      <c r="A220" s="1">
        <v>40895</v>
      </c>
      <c r="B220">
        <v>55</v>
      </c>
    </row>
    <row r="221" spans="1:2" x14ac:dyDescent="0.35">
      <c r="A221" s="1">
        <v>40895</v>
      </c>
      <c r="B221">
        <v>55</v>
      </c>
    </row>
    <row r="222" spans="1:2" x14ac:dyDescent="0.35">
      <c r="A222" s="1">
        <v>40895</v>
      </c>
      <c r="B222">
        <v>330</v>
      </c>
    </row>
    <row r="223" spans="1:2" x14ac:dyDescent="0.35">
      <c r="A223" s="1">
        <v>40895</v>
      </c>
      <c r="B223">
        <v>110</v>
      </c>
    </row>
    <row r="224" spans="1:2" x14ac:dyDescent="0.35">
      <c r="A224" s="1">
        <v>40895</v>
      </c>
      <c r="B224">
        <v>110</v>
      </c>
    </row>
    <row r="225" spans="1:2" x14ac:dyDescent="0.35">
      <c r="A225" s="1">
        <v>40895</v>
      </c>
      <c r="B225">
        <v>110</v>
      </c>
    </row>
    <row r="226" spans="1:2" x14ac:dyDescent="0.35">
      <c r="A226" s="1">
        <v>40895</v>
      </c>
      <c r="B226">
        <v>220</v>
      </c>
    </row>
    <row r="227" spans="1:2" x14ac:dyDescent="0.35">
      <c r="A227" s="1">
        <v>40895</v>
      </c>
      <c r="B227">
        <v>165</v>
      </c>
    </row>
    <row r="228" spans="1:2" x14ac:dyDescent="0.35">
      <c r="A228" s="1">
        <v>40895</v>
      </c>
      <c r="B228">
        <v>220</v>
      </c>
    </row>
    <row r="229" spans="1:2" x14ac:dyDescent="0.35">
      <c r="A229" s="1">
        <v>40895</v>
      </c>
      <c r="B229">
        <v>-55</v>
      </c>
    </row>
    <row r="230" spans="1:2" x14ac:dyDescent="0.35">
      <c r="A230" s="1">
        <v>40895</v>
      </c>
      <c r="B230">
        <v>110</v>
      </c>
    </row>
    <row r="231" spans="1:2" x14ac:dyDescent="0.35">
      <c r="A231" s="1">
        <v>40895</v>
      </c>
      <c r="B231">
        <v>55</v>
      </c>
    </row>
    <row r="232" spans="1:2" x14ac:dyDescent="0.35">
      <c r="A232" s="1">
        <v>40895</v>
      </c>
      <c r="B232">
        <v>165</v>
      </c>
    </row>
    <row r="233" spans="1:2" x14ac:dyDescent="0.35">
      <c r="A233" s="1">
        <v>40895</v>
      </c>
      <c r="B233">
        <v>55</v>
      </c>
    </row>
    <row r="234" spans="1:2" x14ac:dyDescent="0.35">
      <c r="A234" s="1">
        <v>40895</v>
      </c>
      <c r="B234">
        <v>55</v>
      </c>
    </row>
    <row r="235" spans="1:2" x14ac:dyDescent="0.35">
      <c r="A235" s="1">
        <v>40895</v>
      </c>
      <c r="B235">
        <v>165</v>
      </c>
    </row>
    <row r="236" spans="1:2" x14ac:dyDescent="0.35">
      <c r="A236" s="1">
        <v>40895</v>
      </c>
      <c r="B236">
        <v>110</v>
      </c>
    </row>
    <row r="237" spans="1:2" x14ac:dyDescent="0.35">
      <c r="A237" s="1">
        <v>40895</v>
      </c>
      <c r="B237">
        <v>15</v>
      </c>
    </row>
    <row r="238" spans="1:2" x14ac:dyDescent="0.35">
      <c r="A238" s="1">
        <v>40895</v>
      </c>
      <c r="B238">
        <v>440</v>
      </c>
    </row>
    <row r="239" spans="1:2" x14ac:dyDescent="0.35">
      <c r="A239" s="1">
        <v>40895</v>
      </c>
      <c r="B239">
        <v>165</v>
      </c>
    </row>
    <row r="240" spans="1:2" x14ac:dyDescent="0.35">
      <c r="A240" s="1">
        <v>40895</v>
      </c>
      <c r="B240">
        <v>165</v>
      </c>
    </row>
    <row r="241" spans="1:2" x14ac:dyDescent="0.35">
      <c r="A241" s="1">
        <v>40895</v>
      </c>
      <c r="B241">
        <v>330</v>
      </c>
    </row>
    <row r="242" spans="1:2" x14ac:dyDescent="0.35">
      <c r="A242" s="1">
        <v>40895</v>
      </c>
      <c r="B242">
        <v>385</v>
      </c>
    </row>
    <row r="243" spans="1:2" x14ac:dyDescent="0.35">
      <c r="A243" s="1">
        <v>40904</v>
      </c>
      <c r="B243">
        <v>55</v>
      </c>
    </row>
    <row r="244" spans="1:2" x14ac:dyDescent="0.35">
      <c r="A244" s="1">
        <v>40904</v>
      </c>
      <c r="B244">
        <v>220</v>
      </c>
    </row>
    <row r="245" spans="1:2" x14ac:dyDescent="0.35">
      <c r="A245" s="1">
        <v>40904</v>
      </c>
      <c r="B245">
        <v>110</v>
      </c>
    </row>
    <row r="246" spans="1:2" x14ac:dyDescent="0.35">
      <c r="A246" s="1">
        <v>40904</v>
      </c>
      <c r="B246">
        <v>110</v>
      </c>
    </row>
    <row r="247" spans="1:2" x14ac:dyDescent="0.35">
      <c r="A247" s="1">
        <v>40904</v>
      </c>
      <c r="B247">
        <v>55</v>
      </c>
    </row>
    <row r="248" spans="1:2" x14ac:dyDescent="0.35">
      <c r="A248" s="1">
        <v>40904</v>
      </c>
      <c r="B248">
        <v>55</v>
      </c>
    </row>
    <row r="249" spans="1:2" x14ac:dyDescent="0.35">
      <c r="A249" s="1">
        <v>40904</v>
      </c>
      <c r="B249">
        <v>165</v>
      </c>
    </row>
    <row r="250" spans="1:2" x14ac:dyDescent="0.35">
      <c r="A250" s="1">
        <v>40904</v>
      </c>
      <c r="B250">
        <v>165</v>
      </c>
    </row>
    <row r="251" spans="1:2" x14ac:dyDescent="0.35">
      <c r="A251" s="1">
        <v>40904</v>
      </c>
      <c r="B251">
        <v>275</v>
      </c>
    </row>
    <row r="252" spans="1:2" x14ac:dyDescent="0.35">
      <c r="A252" s="1">
        <v>40904</v>
      </c>
      <c r="B252">
        <v>55</v>
      </c>
    </row>
    <row r="253" spans="1:2" x14ac:dyDescent="0.35">
      <c r="A253" s="1">
        <v>40904</v>
      </c>
      <c r="B253">
        <v>55</v>
      </c>
    </row>
    <row r="254" spans="1:2" x14ac:dyDescent="0.35">
      <c r="A254" s="1">
        <v>40904</v>
      </c>
      <c r="B254">
        <v>55</v>
      </c>
    </row>
    <row r="255" spans="1:2" x14ac:dyDescent="0.35">
      <c r="A255" s="1">
        <v>40904</v>
      </c>
      <c r="B255">
        <v>15</v>
      </c>
    </row>
    <row r="256" spans="1:2" x14ac:dyDescent="0.35">
      <c r="A256" s="1">
        <v>40904</v>
      </c>
      <c r="B256">
        <v>-55</v>
      </c>
    </row>
    <row r="257" spans="1:2" x14ac:dyDescent="0.35">
      <c r="A257" s="1">
        <v>40904</v>
      </c>
      <c r="B257">
        <v>110</v>
      </c>
    </row>
    <row r="258" spans="1:2" x14ac:dyDescent="0.35">
      <c r="A258" s="1">
        <v>40904</v>
      </c>
      <c r="B258">
        <v>55</v>
      </c>
    </row>
    <row r="259" spans="1:2" x14ac:dyDescent="0.35">
      <c r="A259" s="1">
        <v>40904</v>
      </c>
      <c r="B259">
        <v>220</v>
      </c>
    </row>
    <row r="260" spans="1:2" x14ac:dyDescent="0.35">
      <c r="A260" s="1">
        <v>40904</v>
      </c>
      <c r="B260">
        <v>55</v>
      </c>
    </row>
    <row r="261" spans="1:2" x14ac:dyDescent="0.35">
      <c r="A261" s="1">
        <v>40904</v>
      </c>
      <c r="B261">
        <v>55</v>
      </c>
    </row>
    <row r="262" spans="1:2" x14ac:dyDescent="0.35">
      <c r="A262" s="1">
        <v>40904</v>
      </c>
      <c r="B262">
        <v>55</v>
      </c>
    </row>
    <row r="263" spans="1:2" x14ac:dyDescent="0.35">
      <c r="A263" s="1">
        <v>40904</v>
      </c>
      <c r="B263">
        <v>24</v>
      </c>
    </row>
    <row r="264" spans="1:2" x14ac:dyDescent="0.35">
      <c r="A264" s="1">
        <v>40904</v>
      </c>
      <c r="B264">
        <v>55</v>
      </c>
    </row>
    <row r="265" spans="1:2" x14ac:dyDescent="0.35">
      <c r="A265" s="1">
        <v>40904</v>
      </c>
      <c r="B265">
        <v>110</v>
      </c>
    </row>
    <row r="266" spans="1:2" x14ac:dyDescent="0.35">
      <c r="A266" s="1">
        <v>40904</v>
      </c>
      <c r="B266">
        <v>55</v>
      </c>
    </row>
    <row r="267" spans="1:2" x14ac:dyDescent="0.35">
      <c r="A267" s="1">
        <v>40904</v>
      </c>
      <c r="B267">
        <v>55</v>
      </c>
    </row>
    <row r="268" spans="1:2" x14ac:dyDescent="0.35">
      <c r="A268" s="1">
        <v>40904</v>
      </c>
      <c r="B268">
        <v>55</v>
      </c>
    </row>
    <row r="269" spans="1:2" x14ac:dyDescent="0.35">
      <c r="A269" s="1">
        <v>40904</v>
      </c>
      <c r="B269">
        <v>55</v>
      </c>
    </row>
    <row r="270" spans="1:2" x14ac:dyDescent="0.35">
      <c r="A270" s="1">
        <v>40904</v>
      </c>
      <c r="B270">
        <v>110</v>
      </c>
    </row>
    <row r="271" spans="1:2" x14ac:dyDescent="0.35">
      <c r="A271" s="1">
        <v>40904</v>
      </c>
      <c r="B271">
        <v>110</v>
      </c>
    </row>
    <row r="272" spans="1:2" x14ac:dyDescent="0.35">
      <c r="A272" s="1">
        <v>40904</v>
      </c>
      <c r="B272">
        <v>110</v>
      </c>
    </row>
    <row r="273" spans="1:2" x14ac:dyDescent="0.35">
      <c r="A273" s="1">
        <v>40904</v>
      </c>
      <c r="B273">
        <v>110</v>
      </c>
    </row>
    <row r="274" spans="1:2" x14ac:dyDescent="0.35">
      <c r="A274" s="1">
        <v>40904</v>
      </c>
      <c r="B274">
        <v>385</v>
      </c>
    </row>
    <row r="275" spans="1:2" x14ac:dyDescent="0.35">
      <c r="A275" s="1">
        <v>40904</v>
      </c>
      <c r="B275">
        <v>440</v>
      </c>
    </row>
    <row r="276" spans="1:2" x14ac:dyDescent="0.35">
      <c r="A276" s="1">
        <v>40904</v>
      </c>
      <c r="B276">
        <v>110</v>
      </c>
    </row>
    <row r="277" spans="1:2" x14ac:dyDescent="0.35">
      <c r="A277" s="1">
        <v>40904</v>
      </c>
      <c r="B277">
        <v>100</v>
      </c>
    </row>
    <row r="278" spans="1:2" x14ac:dyDescent="0.35">
      <c r="A278" s="1">
        <v>40904</v>
      </c>
      <c r="B278">
        <v>100</v>
      </c>
    </row>
    <row r="279" spans="1:2" x14ac:dyDescent="0.35">
      <c r="A279" s="1">
        <v>40904</v>
      </c>
      <c r="B279">
        <v>330</v>
      </c>
    </row>
    <row r="280" spans="1:2" x14ac:dyDescent="0.35">
      <c r="A280" s="1">
        <v>40904</v>
      </c>
      <c r="B280">
        <v>341</v>
      </c>
    </row>
    <row r="281" spans="1:2" x14ac:dyDescent="0.35">
      <c r="A281" s="1">
        <v>40948</v>
      </c>
      <c r="B281">
        <v>275</v>
      </c>
    </row>
    <row r="282" spans="1:2" x14ac:dyDescent="0.35">
      <c r="A282" s="1">
        <v>40948</v>
      </c>
      <c r="B282">
        <v>-60</v>
      </c>
    </row>
    <row r="283" spans="1:2" x14ac:dyDescent="0.35">
      <c r="A283" s="1">
        <v>40959</v>
      </c>
      <c r="B283">
        <v>55</v>
      </c>
    </row>
    <row r="284" spans="1:2" x14ac:dyDescent="0.35">
      <c r="A284" s="1">
        <v>40959</v>
      </c>
      <c r="B284">
        <v>55</v>
      </c>
    </row>
    <row r="285" spans="1:2" x14ac:dyDescent="0.35">
      <c r="A285" s="1">
        <v>40970</v>
      </c>
      <c r="B285">
        <v>165</v>
      </c>
    </row>
    <row r="286" spans="1:2" x14ac:dyDescent="0.35">
      <c r="A286" s="1">
        <v>40970</v>
      </c>
      <c r="B286">
        <v>55</v>
      </c>
    </row>
    <row r="287" spans="1:2" x14ac:dyDescent="0.35">
      <c r="A287" s="1">
        <v>40970</v>
      </c>
      <c r="B287">
        <v>55</v>
      </c>
    </row>
    <row r="288" spans="1:2" x14ac:dyDescent="0.35">
      <c r="A288" s="1">
        <v>40970</v>
      </c>
      <c r="B288">
        <v>55</v>
      </c>
    </row>
    <row r="289" spans="1:2" x14ac:dyDescent="0.35">
      <c r="A289" s="1">
        <v>40975</v>
      </c>
      <c r="B289">
        <v>165</v>
      </c>
    </row>
    <row r="290" spans="1:2" x14ac:dyDescent="0.35">
      <c r="A290" s="1">
        <v>40981</v>
      </c>
      <c r="B290">
        <v>110</v>
      </c>
    </row>
    <row r="291" spans="1:2" x14ac:dyDescent="0.35">
      <c r="A291" s="1">
        <v>40995</v>
      </c>
      <c r="B291">
        <v>55</v>
      </c>
    </row>
    <row r="292" spans="1:2" x14ac:dyDescent="0.35">
      <c r="A292" s="1">
        <v>40995</v>
      </c>
      <c r="B292">
        <v>165</v>
      </c>
    </row>
    <row r="293" spans="1:2" x14ac:dyDescent="0.35">
      <c r="A293" s="1">
        <v>40995</v>
      </c>
      <c r="B293">
        <v>55</v>
      </c>
    </row>
    <row r="294" spans="1:2" x14ac:dyDescent="0.35">
      <c r="A294" s="1">
        <v>40995</v>
      </c>
      <c r="B294">
        <v>60</v>
      </c>
    </row>
    <row r="295" spans="1:2" x14ac:dyDescent="0.35">
      <c r="A295" s="1">
        <v>40995</v>
      </c>
      <c r="B295">
        <v>55</v>
      </c>
    </row>
    <row r="296" spans="1:2" x14ac:dyDescent="0.35">
      <c r="A296" s="1">
        <v>40995</v>
      </c>
      <c r="B296">
        <v>8</v>
      </c>
    </row>
    <row r="297" spans="1:2" x14ac:dyDescent="0.35">
      <c r="A297" s="1">
        <v>40995</v>
      </c>
      <c r="B297">
        <v>110</v>
      </c>
    </row>
    <row r="298" spans="1:2" x14ac:dyDescent="0.35">
      <c r="A298" s="1">
        <v>40995</v>
      </c>
      <c r="B298">
        <v>55</v>
      </c>
    </row>
    <row r="299" spans="1:2" x14ac:dyDescent="0.35">
      <c r="A299" s="1">
        <v>40995</v>
      </c>
      <c r="B299">
        <v>40</v>
      </c>
    </row>
    <row r="300" spans="1:2" x14ac:dyDescent="0.35">
      <c r="A300" s="1">
        <v>40995</v>
      </c>
      <c r="B300">
        <v>110</v>
      </c>
    </row>
    <row r="301" spans="1:2" x14ac:dyDescent="0.35">
      <c r="A301" s="1">
        <v>41017</v>
      </c>
      <c r="B301">
        <v>55</v>
      </c>
    </row>
    <row r="302" spans="1:2" x14ac:dyDescent="0.35">
      <c r="A302" s="1">
        <v>41036</v>
      </c>
      <c r="B302">
        <v>165</v>
      </c>
    </row>
    <row r="303" spans="1:2" x14ac:dyDescent="0.35">
      <c r="A303" s="1">
        <v>41044</v>
      </c>
      <c r="B303">
        <v>220</v>
      </c>
    </row>
    <row r="304" spans="1:2" x14ac:dyDescent="0.35">
      <c r="A304" s="1">
        <v>41044</v>
      </c>
      <c r="B304">
        <v>-55</v>
      </c>
    </row>
    <row r="305" spans="1:2" x14ac:dyDescent="0.35">
      <c r="A305" s="1">
        <v>41050</v>
      </c>
      <c r="B305">
        <v>55</v>
      </c>
    </row>
    <row r="306" spans="1:2" x14ac:dyDescent="0.35">
      <c r="A306" s="1">
        <v>41059</v>
      </c>
      <c r="B306">
        <v>275</v>
      </c>
    </row>
    <row r="307" spans="1:2" x14ac:dyDescent="0.35">
      <c r="A307" s="1">
        <v>41059</v>
      </c>
      <c r="B307">
        <v>20</v>
      </c>
    </row>
    <row r="308" spans="1:2" x14ac:dyDescent="0.35">
      <c r="A308" s="1">
        <v>41059</v>
      </c>
      <c r="B308">
        <v>-165</v>
      </c>
    </row>
    <row r="309" spans="1:2" x14ac:dyDescent="0.35">
      <c r="A309" s="1">
        <v>41061</v>
      </c>
      <c r="B309">
        <v>55</v>
      </c>
    </row>
    <row r="310" spans="1:2" x14ac:dyDescent="0.35">
      <c r="A310" s="1">
        <v>41101</v>
      </c>
      <c r="B310">
        <v>275</v>
      </c>
    </row>
    <row r="311" spans="1:2" x14ac:dyDescent="0.35">
      <c r="A311" s="1">
        <v>41101</v>
      </c>
      <c r="B311">
        <v>55</v>
      </c>
    </row>
    <row r="312" spans="1:2" x14ac:dyDescent="0.35">
      <c r="A312" s="1">
        <v>41101</v>
      </c>
      <c r="B312">
        <v>55</v>
      </c>
    </row>
    <row r="313" spans="1:2" x14ac:dyDescent="0.35">
      <c r="A313" s="1">
        <v>41101</v>
      </c>
      <c r="B313">
        <v>165</v>
      </c>
    </row>
    <row r="314" spans="1:2" x14ac:dyDescent="0.35">
      <c r="A314" s="1">
        <v>41102</v>
      </c>
      <c r="B314">
        <v>55</v>
      </c>
    </row>
    <row r="315" spans="1:2" x14ac:dyDescent="0.35">
      <c r="A315" s="1">
        <v>41102</v>
      </c>
      <c r="B315">
        <v>-55</v>
      </c>
    </row>
    <row r="316" spans="1:2" x14ac:dyDescent="0.35">
      <c r="A316" s="1">
        <v>41103</v>
      </c>
      <c r="B316">
        <v>495</v>
      </c>
    </row>
    <row r="317" spans="1:2" x14ac:dyDescent="0.35">
      <c r="A317" s="1">
        <v>41103</v>
      </c>
      <c r="B317">
        <v>55</v>
      </c>
    </row>
    <row r="318" spans="1:2" x14ac:dyDescent="0.35">
      <c r="A318" s="1">
        <v>41103</v>
      </c>
      <c r="B318">
        <v>660</v>
      </c>
    </row>
    <row r="319" spans="1:2" x14ac:dyDescent="0.35">
      <c r="A319" s="1">
        <v>41103</v>
      </c>
      <c r="B319">
        <v>660</v>
      </c>
    </row>
    <row r="320" spans="1:2" x14ac:dyDescent="0.35">
      <c r="A320" s="1">
        <v>41129</v>
      </c>
      <c r="B320">
        <v>110</v>
      </c>
    </row>
    <row r="321" spans="1:2" x14ac:dyDescent="0.35">
      <c r="A321" s="1">
        <v>41142</v>
      </c>
      <c r="B321">
        <v>55</v>
      </c>
    </row>
    <row r="322" spans="1:2" x14ac:dyDescent="0.35">
      <c r="A322" s="1">
        <v>41145</v>
      </c>
      <c r="B322">
        <v>55</v>
      </c>
    </row>
    <row r="323" spans="1:2" x14ac:dyDescent="0.35">
      <c r="A323" s="1">
        <v>41145</v>
      </c>
      <c r="B323">
        <v>10</v>
      </c>
    </row>
    <row r="324" spans="1:2" x14ac:dyDescent="0.35">
      <c r="A324" s="1">
        <v>41145</v>
      </c>
      <c r="B324">
        <v>440</v>
      </c>
    </row>
    <row r="325" spans="1:2" x14ac:dyDescent="0.35">
      <c r="A325" s="1">
        <v>41145</v>
      </c>
      <c r="B325">
        <v>220</v>
      </c>
    </row>
    <row r="326" spans="1:2" x14ac:dyDescent="0.35">
      <c r="A326" s="1">
        <v>41145</v>
      </c>
      <c r="B326">
        <v>55</v>
      </c>
    </row>
    <row r="327" spans="1:2" x14ac:dyDescent="0.35">
      <c r="A327" s="1">
        <v>41145</v>
      </c>
      <c r="B327">
        <v>55</v>
      </c>
    </row>
    <row r="328" spans="1:2" x14ac:dyDescent="0.35">
      <c r="A328" s="1">
        <v>41145</v>
      </c>
      <c r="B328">
        <v>55</v>
      </c>
    </row>
    <row r="329" spans="1:2" x14ac:dyDescent="0.35">
      <c r="A329" s="1">
        <v>41145</v>
      </c>
      <c r="B329">
        <v>35</v>
      </c>
    </row>
    <row r="330" spans="1:2" x14ac:dyDescent="0.35">
      <c r="A330" s="1">
        <v>41145</v>
      </c>
      <c r="B330">
        <v>12</v>
      </c>
    </row>
    <row r="331" spans="1:2" x14ac:dyDescent="0.35">
      <c r="A331" s="1">
        <v>41145</v>
      </c>
      <c r="B331">
        <v>440</v>
      </c>
    </row>
    <row r="332" spans="1:2" x14ac:dyDescent="0.35">
      <c r="A332" s="1">
        <v>41173</v>
      </c>
      <c r="B332">
        <v>55</v>
      </c>
    </row>
    <row r="333" spans="1:2" x14ac:dyDescent="0.35">
      <c r="A333" s="1">
        <v>41182</v>
      </c>
      <c r="B333">
        <v>10</v>
      </c>
    </row>
    <row r="334" spans="1:2" x14ac:dyDescent="0.35">
      <c r="A334" s="1">
        <v>41182</v>
      </c>
      <c r="B334">
        <v>110</v>
      </c>
    </row>
    <row r="335" spans="1:2" x14ac:dyDescent="0.35">
      <c r="A335" s="1">
        <v>41182</v>
      </c>
      <c r="B335">
        <v>495</v>
      </c>
    </row>
    <row r="336" spans="1:2" x14ac:dyDescent="0.35">
      <c r="A336" s="1">
        <v>41182</v>
      </c>
      <c r="B336">
        <v>110</v>
      </c>
    </row>
    <row r="337" spans="1:2" x14ac:dyDescent="0.35">
      <c r="A337" s="1">
        <v>41182</v>
      </c>
      <c r="B337">
        <v>55</v>
      </c>
    </row>
    <row r="338" spans="1:2" x14ac:dyDescent="0.35">
      <c r="A338" s="1">
        <v>41182</v>
      </c>
      <c r="B338">
        <v>275</v>
      </c>
    </row>
    <row r="339" spans="1:2" x14ac:dyDescent="0.35">
      <c r="A339" s="1">
        <v>41182</v>
      </c>
      <c r="B339">
        <v>440</v>
      </c>
    </row>
    <row r="340" spans="1:2" x14ac:dyDescent="0.35">
      <c r="A340" s="1">
        <v>41182</v>
      </c>
      <c r="B340">
        <v>55</v>
      </c>
    </row>
    <row r="341" spans="1:2" x14ac:dyDescent="0.35">
      <c r="A341" s="1">
        <v>41184</v>
      </c>
      <c r="B341">
        <v>55</v>
      </c>
    </row>
    <row r="342" spans="1:2" x14ac:dyDescent="0.35">
      <c r="A342" s="1">
        <v>41194</v>
      </c>
      <c r="B342">
        <v>165</v>
      </c>
    </row>
    <row r="343" spans="1:2" x14ac:dyDescent="0.35">
      <c r="A343" s="1">
        <v>41213</v>
      </c>
      <c r="B343">
        <v>55</v>
      </c>
    </row>
    <row r="344" spans="1:2" x14ac:dyDescent="0.35">
      <c r="A344" s="1">
        <v>41218</v>
      </c>
      <c r="B344">
        <v>440</v>
      </c>
    </row>
    <row r="345" spans="1:2" x14ac:dyDescent="0.35">
      <c r="A345" s="1">
        <v>41218</v>
      </c>
      <c r="B345">
        <v>55</v>
      </c>
    </row>
    <row r="346" spans="1:2" x14ac:dyDescent="0.35">
      <c r="A346" s="1">
        <v>41218</v>
      </c>
      <c r="B346">
        <v>110</v>
      </c>
    </row>
    <row r="347" spans="1:2" x14ac:dyDescent="0.35">
      <c r="A347" s="1">
        <v>41218</v>
      </c>
      <c r="B347">
        <v>55</v>
      </c>
    </row>
    <row r="348" spans="1:2" x14ac:dyDescent="0.35">
      <c r="A348" s="1">
        <v>41218</v>
      </c>
      <c r="B348">
        <v>55</v>
      </c>
    </row>
    <row r="349" spans="1:2" x14ac:dyDescent="0.35">
      <c r="A349" s="1">
        <v>41218</v>
      </c>
      <c r="B349">
        <v>55</v>
      </c>
    </row>
    <row r="350" spans="1:2" x14ac:dyDescent="0.35">
      <c r="A350" s="1">
        <v>41218</v>
      </c>
      <c r="B350">
        <v>110</v>
      </c>
    </row>
    <row r="351" spans="1:2" x14ac:dyDescent="0.35">
      <c r="A351" s="1">
        <v>41218</v>
      </c>
      <c r="B351">
        <v>55</v>
      </c>
    </row>
    <row r="352" spans="1:2" x14ac:dyDescent="0.35">
      <c r="A352" s="1">
        <v>41218</v>
      </c>
      <c r="B352">
        <v>165</v>
      </c>
    </row>
    <row r="353" spans="1:2" x14ac:dyDescent="0.35">
      <c r="A353" s="1">
        <v>41218</v>
      </c>
      <c r="B353">
        <v>330</v>
      </c>
    </row>
    <row r="354" spans="1:2" x14ac:dyDescent="0.35">
      <c r="A354" s="1">
        <v>41223</v>
      </c>
      <c r="B354">
        <v>55</v>
      </c>
    </row>
    <row r="355" spans="1:2" x14ac:dyDescent="0.35">
      <c r="A355" s="1">
        <v>41223</v>
      </c>
      <c r="B355">
        <v>55</v>
      </c>
    </row>
    <row r="356" spans="1:2" x14ac:dyDescent="0.35">
      <c r="A356" s="1">
        <v>41223</v>
      </c>
      <c r="B356">
        <v>-50</v>
      </c>
    </row>
    <row r="357" spans="1:2" x14ac:dyDescent="0.35">
      <c r="A357" s="1">
        <v>41223</v>
      </c>
      <c r="B357">
        <v>55</v>
      </c>
    </row>
    <row r="358" spans="1:2" x14ac:dyDescent="0.35">
      <c r="A358" s="1">
        <v>41223</v>
      </c>
      <c r="B358">
        <v>110</v>
      </c>
    </row>
    <row r="359" spans="1:2" x14ac:dyDescent="0.35">
      <c r="A359" s="1">
        <v>41223</v>
      </c>
      <c r="B359">
        <v>55</v>
      </c>
    </row>
    <row r="360" spans="1:2" x14ac:dyDescent="0.35">
      <c r="A360" s="1">
        <v>41223</v>
      </c>
      <c r="B360">
        <v>165</v>
      </c>
    </row>
    <row r="361" spans="1:2" x14ac:dyDescent="0.35">
      <c r="A361" s="1">
        <v>41223</v>
      </c>
      <c r="B361">
        <v>55</v>
      </c>
    </row>
    <row r="362" spans="1:2" x14ac:dyDescent="0.35">
      <c r="A362" s="1">
        <v>41223</v>
      </c>
      <c r="B362">
        <v>165</v>
      </c>
    </row>
    <row r="363" spans="1:2" x14ac:dyDescent="0.35">
      <c r="A363" s="1">
        <v>41223</v>
      </c>
      <c r="B363">
        <v>55</v>
      </c>
    </row>
    <row r="364" spans="1:2" x14ac:dyDescent="0.35">
      <c r="A364" s="1">
        <v>41223</v>
      </c>
      <c r="B364">
        <v>55</v>
      </c>
    </row>
    <row r="365" spans="1:2" x14ac:dyDescent="0.35">
      <c r="A365" s="1">
        <v>41224</v>
      </c>
      <c r="B365">
        <v>55</v>
      </c>
    </row>
    <row r="366" spans="1:2" x14ac:dyDescent="0.35">
      <c r="A366" s="1">
        <v>41224</v>
      </c>
      <c r="B366">
        <v>55</v>
      </c>
    </row>
    <row r="367" spans="1:2" x14ac:dyDescent="0.35">
      <c r="A367" s="1">
        <v>41224</v>
      </c>
      <c r="B367">
        <v>110</v>
      </c>
    </row>
    <row r="368" spans="1:2" x14ac:dyDescent="0.35">
      <c r="A368" s="1">
        <v>41224</v>
      </c>
      <c r="B368">
        <v>110</v>
      </c>
    </row>
    <row r="369" spans="1:2" x14ac:dyDescent="0.35">
      <c r="A369" s="1">
        <v>41224</v>
      </c>
      <c r="B369">
        <v>55</v>
      </c>
    </row>
    <row r="370" spans="1:2" x14ac:dyDescent="0.35">
      <c r="A370" s="1">
        <v>41224</v>
      </c>
      <c r="B370">
        <v>-55</v>
      </c>
    </row>
    <row r="371" spans="1:2" x14ac:dyDescent="0.35">
      <c r="A371" s="1">
        <v>41224</v>
      </c>
      <c r="B371">
        <v>-55</v>
      </c>
    </row>
    <row r="372" spans="1:2" x14ac:dyDescent="0.35">
      <c r="A372" s="1">
        <v>41240</v>
      </c>
      <c r="B372">
        <v>220</v>
      </c>
    </row>
    <row r="373" spans="1:2" x14ac:dyDescent="0.35">
      <c r="A373" s="1">
        <v>41240</v>
      </c>
      <c r="B373">
        <v>55</v>
      </c>
    </row>
    <row r="374" spans="1:2" x14ac:dyDescent="0.35">
      <c r="A374" s="1">
        <v>41240</v>
      </c>
      <c r="B374">
        <v>110</v>
      </c>
    </row>
    <row r="375" spans="1:2" x14ac:dyDescent="0.35">
      <c r="A375" s="1">
        <v>41240</v>
      </c>
      <c r="B375">
        <v>275</v>
      </c>
    </row>
    <row r="376" spans="1:2" x14ac:dyDescent="0.35">
      <c r="A376" s="1">
        <v>41240</v>
      </c>
      <c r="B376">
        <v>275</v>
      </c>
    </row>
    <row r="377" spans="1:2" x14ac:dyDescent="0.35">
      <c r="A377" s="1">
        <v>41246</v>
      </c>
      <c r="B377">
        <v>165</v>
      </c>
    </row>
    <row r="378" spans="1:2" x14ac:dyDescent="0.35">
      <c r="A378" s="1">
        <v>41247</v>
      </c>
      <c r="B378">
        <v>55</v>
      </c>
    </row>
    <row r="379" spans="1:2" x14ac:dyDescent="0.35">
      <c r="A379" s="1">
        <v>41247</v>
      </c>
      <c r="B379">
        <v>55</v>
      </c>
    </row>
    <row r="380" spans="1:2" x14ac:dyDescent="0.35">
      <c r="A380" s="1">
        <v>41247</v>
      </c>
      <c r="B380">
        <v>55</v>
      </c>
    </row>
    <row r="381" spans="1:2" x14ac:dyDescent="0.35">
      <c r="A381" s="1">
        <v>41247</v>
      </c>
      <c r="B381">
        <v>55</v>
      </c>
    </row>
    <row r="382" spans="1:2" x14ac:dyDescent="0.35">
      <c r="A382" s="1">
        <v>41247</v>
      </c>
      <c r="B382">
        <v>55</v>
      </c>
    </row>
    <row r="383" spans="1:2" x14ac:dyDescent="0.35">
      <c r="A383" s="1">
        <v>41247</v>
      </c>
      <c r="B383">
        <v>110</v>
      </c>
    </row>
    <row r="384" spans="1:2" x14ac:dyDescent="0.35">
      <c r="A384" s="1">
        <v>41247</v>
      </c>
      <c r="B384">
        <v>440</v>
      </c>
    </row>
    <row r="385" spans="1:2" x14ac:dyDescent="0.35">
      <c r="A385" s="1">
        <v>41247</v>
      </c>
      <c r="B385">
        <v>330</v>
      </c>
    </row>
    <row r="386" spans="1:2" x14ac:dyDescent="0.35">
      <c r="A386" s="1">
        <v>41247</v>
      </c>
      <c r="B386">
        <v>330</v>
      </c>
    </row>
    <row r="387" spans="1:2" x14ac:dyDescent="0.35">
      <c r="A387" s="1">
        <v>41247</v>
      </c>
      <c r="B387">
        <v>110</v>
      </c>
    </row>
    <row r="388" spans="1:2" x14ac:dyDescent="0.35">
      <c r="A388" s="1">
        <v>41247</v>
      </c>
      <c r="B388">
        <v>110</v>
      </c>
    </row>
    <row r="389" spans="1:2" x14ac:dyDescent="0.35">
      <c r="A389" s="1">
        <v>41247</v>
      </c>
      <c r="B389">
        <v>15</v>
      </c>
    </row>
    <row r="390" spans="1:2" x14ac:dyDescent="0.35">
      <c r="A390" s="1">
        <v>41247</v>
      </c>
      <c r="B390">
        <v>55</v>
      </c>
    </row>
    <row r="391" spans="1:2" x14ac:dyDescent="0.35">
      <c r="A391" s="1">
        <v>41247</v>
      </c>
      <c r="B391">
        <v>110</v>
      </c>
    </row>
    <row r="392" spans="1:2" x14ac:dyDescent="0.35">
      <c r="A392" s="1">
        <v>41247</v>
      </c>
      <c r="B392">
        <v>110</v>
      </c>
    </row>
    <row r="393" spans="1:2" x14ac:dyDescent="0.35">
      <c r="A393" s="1">
        <v>41247</v>
      </c>
      <c r="B393">
        <v>55</v>
      </c>
    </row>
    <row r="394" spans="1:2" x14ac:dyDescent="0.35">
      <c r="A394" s="1">
        <v>41247</v>
      </c>
      <c r="B394">
        <v>55</v>
      </c>
    </row>
    <row r="395" spans="1:2" x14ac:dyDescent="0.35">
      <c r="A395" s="1">
        <v>41247</v>
      </c>
      <c r="B395">
        <v>55</v>
      </c>
    </row>
    <row r="396" spans="1:2" x14ac:dyDescent="0.35">
      <c r="A396" s="1">
        <v>41247</v>
      </c>
      <c r="B396">
        <v>55</v>
      </c>
    </row>
    <row r="397" spans="1:2" x14ac:dyDescent="0.35">
      <c r="A397" s="1">
        <v>41247</v>
      </c>
      <c r="B397">
        <v>110</v>
      </c>
    </row>
    <row r="398" spans="1:2" x14ac:dyDescent="0.35">
      <c r="A398" s="1">
        <v>41248</v>
      </c>
      <c r="B398">
        <v>165</v>
      </c>
    </row>
    <row r="399" spans="1:2" x14ac:dyDescent="0.35">
      <c r="A399" s="1">
        <v>41248</v>
      </c>
      <c r="B399">
        <v>220</v>
      </c>
    </row>
    <row r="400" spans="1:2" x14ac:dyDescent="0.35">
      <c r="A400" s="1">
        <v>41248</v>
      </c>
      <c r="B400">
        <v>385</v>
      </c>
    </row>
    <row r="401" spans="1:2" x14ac:dyDescent="0.35">
      <c r="A401" s="1">
        <v>41248</v>
      </c>
      <c r="B401">
        <v>110</v>
      </c>
    </row>
    <row r="402" spans="1:2" x14ac:dyDescent="0.35">
      <c r="A402" s="1">
        <v>41248</v>
      </c>
      <c r="B402">
        <v>-55</v>
      </c>
    </row>
    <row r="403" spans="1:2" x14ac:dyDescent="0.35">
      <c r="A403" s="1">
        <v>41248</v>
      </c>
      <c r="B403">
        <v>55</v>
      </c>
    </row>
    <row r="404" spans="1:2" x14ac:dyDescent="0.35">
      <c r="A404" s="1">
        <v>41248</v>
      </c>
      <c r="B404">
        <v>20</v>
      </c>
    </row>
    <row r="405" spans="1:2" x14ac:dyDescent="0.35">
      <c r="A405" s="1">
        <v>41248</v>
      </c>
      <c r="B405">
        <v>110</v>
      </c>
    </row>
    <row r="406" spans="1:2" x14ac:dyDescent="0.35">
      <c r="A406" s="1">
        <v>41248</v>
      </c>
      <c r="B406">
        <v>-55</v>
      </c>
    </row>
    <row r="407" spans="1:2" x14ac:dyDescent="0.35">
      <c r="A407" s="1">
        <v>41248</v>
      </c>
      <c r="B407">
        <v>330</v>
      </c>
    </row>
    <row r="408" spans="1:2" x14ac:dyDescent="0.35">
      <c r="A408" s="1">
        <v>41248</v>
      </c>
      <c r="B408">
        <v>-55</v>
      </c>
    </row>
    <row r="409" spans="1:2" x14ac:dyDescent="0.35">
      <c r="A409" s="1">
        <v>41248</v>
      </c>
      <c r="B409">
        <v>55</v>
      </c>
    </row>
    <row r="410" spans="1:2" x14ac:dyDescent="0.35">
      <c r="A410" s="1">
        <v>41248</v>
      </c>
      <c r="B410">
        <v>110</v>
      </c>
    </row>
    <row r="411" spans="1:2" x14ac:dyDescent="0.35">
      <c r="A411" s="1">
        <v>41248</v>
      </c>
      <c r="B411">
        <v>55</v>
      </c>
    </row>
    <row r="412" spans="1:2" x14ac:dyDescent="0.35">
      <c r="A412" s="1">
        <v>41248</v>
      </c>
      <c r="B412">
        <v>110</v>
      </c>
    </row>
    <row r="413" spans="1:2" x14ac:dyDescent="0.35">
      <c r="A413" s="1">
        <v>41248</v>
      </c>
      <c r="B413">
        <v>55</v>
      </c>
    </row>
    <row r="414" spans="1:2" x14ac:dyDescent="0.35">
      <c r="A414" s="1">
        <v>41248</v>
      </c>
      <c r="B414">
        <v>-55</v>
      </c>
    </row>
    <row r="415" spans="1:2" x14ac:dyDescent="0.35">
      <c r="A415" s="1">
        <v>41248</v>
      </c>
      <c r="B415">
        <v>55</v>
      </c>
    </row>
    <row r="416" spans="1:2" x14ac:dyDescent="0.35">
      <c r="A416" s="1">
        <v>41248</v>
      </c>
      <c r="B416">
        <v>55</v>
      </c>
    </row>
    <row r="417" spans="1:2" x14ac:dyDescent="0.35">
      <c r="A417" s="1">
        <v>41248</v>
      </c>
      <c r="B417">
        <v>55</v>
      </c>
    </row>
    <row r="418" spans="1:2" x14ac:dyDescent="0.35">
      <c r="A418" s="1">
        <v>41248</v>
      </c>
      <c r="B418">
        <v>110</v>
      </c>
    </row>
    <row r="419" spans="1:2" x14ac:dyDescent="0.35">
      <c r="A419" s="1">
        <v>41252</v>
      </c>
      <c r="B419">
        <v>775</v>
      </c>
    </row>
    <row r="420" spans="1:2" x14ac:dyDescent="0.35">
      <c r="A420" s="1">
        <v>41252</v>
      </c>
      <c r="B420">
        <v>110</v>
      </c>
    </row>
    <row r="421" spans="1:2" x14ac:dyDescent="0.35">
      <c r="A421" s="1">
        <v>41252</v>
      </c>
      <c r="B421">
        <v>330</v>
      </c>
    </row>
    <row r="422" spans="1:2" x14ac:dyDescent="0.35">
      <c r="A422" s="1">
        <v>41252</v>
      </c>
      <c r="B422">
        <v>330</v>
      </c>
    </row>
    <row r="423" spans="1:2" x14ac:dyDescent="0.35">
      <c r="A423" s="1">
        <v>41252</v>
      </c>
      <c r="B423">
        <v>550</v>
      </c>
    </row>
    <row r="424" spans="1:2" x14ac:dyDescent="0.35">
      <c r="A424" s="1">
        <v>41252</v>
      </c>
      <c r="B424">
        <v>110</v>
      </c>
    </row>
    <row r="425" spans="1:2" x14ac:dyDescent="0.35">
      <c r="A425" s="1">
        <v>41252</v>
      </c>
      <c r="B425">
        <v>550</v>
      </c>
    </row>
    <row r="426" spans="1:2" x14ac:dyDescent="0.35">
      <c r="A426" s="1">
        <v>41252</v>
      </c>
      <c r="B426">
        <v>165</v>
      </c>
    </row>
    <row r="427" spans="1:2" x14ac:dyDescent="0.35">
      <c r="A427" s="1">
        <v>41252</v>
      </c>
      <c r="B427">
        <v>55</v>
      </c>
    </row>
    <row r="428" spans="1:2" x14ac:dyDescent="0.35">
      <c r="A428" s="1">
        <v>41252</v>
      </c>
      <c r="B428">
        <v>55</v>
      </c>
    </row>
    <row r="429" spans="1:2" x14ac:dyDescent="0.35">
      <c r="A429" s="1">
        <v>41252</v>
      </c>
      <c r="B429">
        <v>165</v>
      </c>
    </row>
    <row r="430" spans="1:2" x14ac:dyDescent="0.35">
      <c r="A430" s="1">
        <v>41253</v>
      </c>
      <c r="B430">
        <v>165</v>
      </c>
    </row>
    <row r="431" spans="1:2" x14ac:dyDescent="0.35">
      <c r="A431" s="1">
        <v>41253</v>
      </c>
      <c r="B431">
        <v>275</v>
      </c>
    </row>
    <row r="432" spans="1:2" x14ac:dyDescent="0.35">
      <c r="A432" s="1">
        <v>41253</v>
      </c>
      <c r="B432">
        <v>275</v>
      </c>
    </row>
    <row r="433" spans="1:2" x14ac:dyDescent="0.35">
      <c r="A433" s="1">
        <v>41253</v>
      </c>
      <c r="B433">
        <v>55</v>
      </c>
    </row>
    <row r="434" spans="1:2" x14ac:dyDescent="0.35">
      <c r="A434" s="1">
        <v>41253</v>
      </c>
      <c r="B434">
        <v>385</v>
      </c>
    </row>
    <row r="435" spans="1:2" x14ac:dyDescent="0.35">
      <c r="A435" s="1">
        <v>41253</v>
      </c>
      <c r="B435">
        <v>275</v>
      </c>
    </row>
    <row r="436" spans="1:2" x14ac:dyDescent="0.35">
      <c r="A436" s="1">
        <v>41253</v>
      </c>
      <c r="B436">
        <v>220</v>
      </c>
    </row>
    <row r="437" spans="1:2" x14ac:dyDescent="0.35">
      <c r="A437" s="1">
        <v>41253</v>
      </c>
      <c r="B437">
        <v>275</v>
      </c>
    </row>
    <row r="438" spans="1:2" x14ac:dyDescent="0.35">
      <c r="A438" s="1">
        <v>41253</v>
      </c>
      <c r="B438">
        <v>10</v>
      </c>
    </row>
    <row r="439" spans="1:2" x14ac:dyDescent="0.35">
      <c r="A439" s="1">
        <v>41253</v>
      </c>
      <c r="B439">
        <v>55</v>
      </c>
    </row>
    <row r="440" spans="1:2" x14ac:dyDescent="0.35">
      <c r="A440" s="1">
        <v>41256</v>
      </c>
      <c r="B440">
        <v>110</v>
      </c>
    </row>
    <row r="441" spans="1:2" x14ac:dyDescent="0.35">
      <c r="A441" s="1">
        <v>41263</v>
      </c>
      <c r="B441">
        <v>440</v>
      </c>
    </row>
    <row r="442" spans="1:2" x14ac:dyDescent="0.35">
      <c r="A442" s="1">
        <v>41263</v>
      </c>
      <c r="B442">
        <v>165</v>
      </c>
    </row>
    <row r="443" spans="1:2" x14ac:dyDescent="0.35">
      <c r="A443" s="1">
        <v>41263</v>
      </c>
      <c r="B443">
        <v>110</v>
      </c>
    </row>
    <row r="444" spans="1:2" x14ac:dyDescent="0.35">
      <c r="A444" s="1">
        <v>41263</v>
      </c>
      <c r="B444">
        <v>440</v>
      </c>
    </row>
    <row r="445" spans="1:2" x14ac:dyDescent="0.35">
      <c r="A445" s="1">
        <v>41263</v>
      </c>
      <c r="B445">
        <v>55</v>
      </c>
    </row>
    <row r="446" spans="1:2" x14ac:dyDescent="0.35">
      <c r="A446" s="1">
        <v>41263</v>
      </c>
      <c r="B446">
        <v>55</v>
      </c>
    </row>
    <row r="447" spans="1:2" x14ac:dyDescent="0.35">
      <c r="A447" s="1">
        <v>41263</v>
      </c>
      <c r="B447">
        <v>550</v>
      </c>
    </row>
    <row r="448" spans="1:2" x14ac:dyDescent="0.35">
      <c r="A448" s="1">
        <v>41263</v>
      </c>
      <c r="B448">
        <v>550</v>
      </c>
    </row>
    <row r="449" spans="1:2" x14ac:dyDescent="0.35">
      <c r="A449" s="1">
        <v>41263</v>
      </c>
      <c r="B449">
        <v>110</v>
      </c>
    </row>
    <row r="450" spans="1:2" x14ac:dyDescent="0.35">
      <c r="A450" s="1">
        <v>41263</v>
      </c>
      <c r="B450">
        <v>55</v>
      </c>
    </row>
    <row r="451" spans="1:2" x14ac:dyDescent="0.35">
      <c r="A451" s="1">
        <v>41263</v>
      </c>
      <c r="B451">
        <v>55</v>
      </c>
    </row>
    <row r="452" spans="1:2" x14ac:dyDescent="0.35">
      <c r="A452" s="1">
        <v>41263</v>
      </c>
      <c r="B452">
        <v>55</v>
      </c>
    </row>
    <row r="453" spans="1:2" x14ac:dyDescent="0.35">
      <c r="A453" s="1">
        <v>41263</v>
      </c>
      <c r="B453">
        <v>110</v>
      </c>
    </row>
    <row r="454" spans="1:2" x14ac:dyDescent="0.35">
      <c r="A454" s="1">
        <v>41263</v>
      </c>
      <c r="B454">
        <v>55</v>
      </c>
    </row>
    <row r="455" spans="1:2" x14ac:dyDescent="0.35">
      <c r="A455" s="1">
        <v>41263</v>
      </c>
      <c r="B455">
        <v>330</v>
      </c>
    </row>
    <row r="456" spans="1:2" x14ac:dyDescent="0.35">
      <c r="A456" s="1">
        <v>41263</v>
      </c>
      <c r="B456">
        <v>605</v>
      </c>
    </row>
    <row r="457" spans="1:2" x14ac:dyDescent="0.35">
      <c r="A457" s="1">
        <v>41263</v>
      </c>
      <c r="B457">
        <v>55</v>
      </c>
    </row>
    <row r="458" spans="1:2" x14ac:dyDescent="0.35">
      <c r="A458" s="1">
        <v>41263</v>
      </c>
      <c r="B458">
        <v>220</v>
      </c>
    </row>
    <row r="459" spans="1:2" x14ac:dyDescent="0.35">
      <c r="A459" s="1">
        <v>41263</v>
      </c>
      <c r="B459">
        <v>275</v>
      </c>
    </row>
    <row r="460" spans="1:2" x14ac:dyDescent="0.35">
      <c r="A460" s="1">
        <v>41263</v>
      </c>
      <c r="B460">
        <v>55</v>
      </c>
    </row>
    <row r="461" spans="1:2" x14ac:dyDescent="0.35">
      <c r="A461" s="1">
        <v>41263</v>
      </c>
      <c r="B461">
        <v>550</v>
      </c>
    </row>
    <row r="462" spans="1:2" x14ac:dyDescent="0.35">
      <c r="A462" s="1">
        <v>41263</v>
      </c>
      <c r="B462">
        <v>55</v>
      </c>
    </row>
    <row r="463" spans="1:2" x14ac:dyDescent="0.35">
      <c r="A463" s="1">
        <v>41263</v>
      </c>
      <c r="B463">
        <v>110</v>
      </c>
    </row>
    <row r="464" spans="1:2" x14ac:dyDescent="0.35">
      <c r="A464" s="1">
        <v>41263</v>
      </c>
      <c r="B464">
        <v>330</v>
      </c>
    </row>
    <row r="465" spans="1:2" x14ac:dyDescent="0.35">
      <c r="A465" s="1">
        <v>41263</v>
      </c>
      <c r="B465">
        <v>110</v>
      </c>
    </row>
    <row r="466" spans="1:2" x14ac:dyDescent="0.35">
      <c r="A466" s="1">
        <v>41263</v>
      </c>
      <c r="B466">
        <v>55</v>
      </c>
    </row>
    <row r="467" spans="1:2" x14ac:dyDescent="0.35">
      <c r="A467" s="1">
        <v>41263</v>
      </c>
      <c r="B467">
        <v>110</v>
      </c>
    </row>
    <row r="468" spans="1:2" x14ac:dyDescent="0.35">
      <c r="A468" s="1">
        <v>41263</v>
      </c>
      <c r="B468">
        <v>55</v>
      </c>
    </row>
    <row r="469" spans="1:2" x14ac:dyDescent="0.35">
      <c r="A469" s="1">
        <v>41263</v>
      </c>
      <c r="B469">
        <v>80</v>
      </c>
    </row>
    <row r="470" spans="1:2" x14ac:dyDescent="0.35">
      <c r="A470" s="1">
        <v>41263</v>
      </c>
      <c r="B470">
        <v>55</v>
      </c>
    </row>
    <row r="471" spans="1:2" x14ac:dyDescent="0.35">
      <c r="A471" s="1">
        <v>41263</v>
      </c>
      <c r="B471">
        <v>55</v>
      </c>
    </row>
    <row r="472" spans="1:2" x14ac:dyDescent="0.35">
      <c r="A472" s="1">
        <v>41263</v>
      </c>
      <c r="B472">
        <v>220</v>
      </c>
    </row>
    <row r="473" spans="1:2" x14ac:dyDescent="0.35">
      <c r="A473" s="1">
        <v>41263</v>
      </c>
      <c r="B473">
        <v>55</v>
      </c>
    </row>
    <row r="474" spans="1:2" x14ac:dyDescent="0.35">
      <c r="A474" s="1">
        <v>41263</v>
      </c>
      <c r="B474">
        <v>55</v>
      </c>
    </row>
    <row r="475" spans="1:2" x14ac:dyDescent="0.35">
      <c r="A475" s="1">
        <v>41263</v>
      </c>
      <c r="B475">
        <v>55</v>
      </c>
    </row>
    <row r="476" spans="1:2" x14ac:dyDescent="0.35">
      <c r="A476" s="1">
        <v>41263</v>
      </c>
      <c r="B476">
        <v>-4</v>
      </c>
    </row>
    <row r="477" spans="1:2" x14ac:dyDescent="0.35">
      <c r="A477" s="1">
        <v>41263</v>
      </c>
      <c r="B477">
        <v>55</v>
      </c>
    </row>
    <row r="478" spans="1:2" x14ac:dyDescent="0.35">
      <c r="A478" s="1">
        <v>41263</v>
      </c>
      <c r="B478">
        <v>55</v>
      </c>
    </row>
    <row r="479" spans="1:2" x14ac:dyDescent="0.35">
      <c r="A479" s="1">
        <v>41263</v>
      </c>
      <c r="B479">
        <v>55</v>
      </c>
    </row>
    <row r="480" spans="1:2" x14ac:dyDescent="0.35">
      <c r="A480" s="1">
        <v>41263</v>
      </c>
      <c r="B480">
        <v>110</v>
      </c>
    </row>
    <row r="481" spans="1:2" x14ac:dyDescent="0.35">
      <c r="A481" s="1">
        <v>41263</v>
      </c>
      <c r="B481">
        <v>165</v>
      </c>
    </row>
    <row r="482" spans="1:2" x14ac:dyDescent="0.35">
      <c r="A482" s="1">
        <v>41263</v>
      </c>
      <c r="B482">
        <v>220</v>
      </c>
    </row>
    <row r="483" spans="1:2" x14ac:dyDescent="0.35">
      <c r="A483" s="1">
        <v>41264</v>
      </c>
      <c r="B483">
        <v>724</v>
      </c>
    </row>
    <row r="484" spans="1:2" x14ac:dyDescent="0.35">
      <c r="A484" s="1">
        <v>41288</v>
      </c>
      <c r="B484">
        <v>55</v>
      </c>
    </row>
    <row r="485" spans="1:2" x14ac:dyDescent="0.35">
      <c r="A485" s="1">
        <v>41288</v>
      </c>
      <c r="B485">
        <v>55</v>
      </c>
    </row>
    <row r="486" spans="1:2" x14ac:dyDescent="0.35">
      <c r="A486" s="1">
        <v>41299</v>
      </c>
      <c r="B486">
        <v>55</v>
      </c>
    </row>
    <row r="487" spans="1:2" x14ac:dyDescent="0.35">
      <c r="A487" s="1">
        <v>41327</v>
      </c>
      <c r="B487">
        <v>330</v>
      </c>
    </row>
    <row r="488" spans="1:2" x14ac:dyDescent="0.35">
      <c r="A488" s="1">
        <v>41327</v>
      </c>
      <c r="B488">
        <v>55</v>
      </c>
    </row>
    <row r="489" spans="1:2" x14ac:dyDescent="0.35">
      <c r="A489" s="1">
        <v>41330</v>
      </c>
      <c r="B489">
        <v>55</v>
      </c>
    </row>
    <row r="490" spans="1:2" x14ac:dyDescent="0.35">
      <c r="A490" s="1">
        <v>41338</v>
      </c>
      <c r="B490">
        <v>110</v>
      </c>
    </row>
    <row r="491" spans="1:2" x14ac:dyDescent="0.35">
      <c r="A491" s="1">
        <v>41340</v>
      </c>
      <c r="B491">
        <v>55</v>
      </c>
    </row>
    <row r="492" spans="1:2" x14ac:dyDescent="0.35">
      <c r="A492" s="1">
        <v>41354</v>
      </c>
      <c r="B492">
        <v>55</v>
      </c>
    </row>
    <row r="493" spans="1:2" x14ac:dyDescent="0.35">
      <c r="A493" s="1">
        <v>41354</v>
      </c>
      <c r="B493">
        <v>55</v>
      </c>
    </row>
    <row r="494" spans="1:2" x14ac:dyDescent="0.35">
      <c r="A494" s="1">
        <v>41354</v>
      </c>
      <c r="B494">
        <v>55</v>
      </c>
    </row>
    <row r="495" spans="1:2" x14ac:dyDescent="0.35">
      <c r="A495" s="1">
        <v>41354</v>
      </c>
      <c r="B495">
        <v>55</v>
      </c>
    </row>
    <row r="496" spans="1:2" x14ac:dyDescent="0.35">
      <c r="A496" s="1">
        <v>41369</v>
      </c>
      <c r="B496">
        <v>110</v>
      </c>
    </row>
    <row r="497" spans="1:2" x14ac:dyDescent="0.35">
      <c r="A497" s="1">
        <v>41373</v>
      </c>
      <c r="B497">
        <v>110</v>
      </c>
    </row>
    <row r="498" spans="1:2" x14ac:dyDescent="0.35">
      <c r="A498" s="1">
        <v>41373</v>
      </c>
      <c r="B498">
        <v>220</v>
      </c>
    </row>
    <row r="499" spans="1:2" x14ac:dyDescent="0.35">
      <c r="A499" s="1">
        <v>41373</v>
      </c>
      <c r="B499">
        <v>330</v>
      </c>
    </row>
    <row r="500" spans="1:2" x14ac:dyDescent="0.35">
      <c r="A500" s="1">
        <v>41383</v>
      </c>
      <c r="B500">
        <v>55</v>
      </c>
    </row>
    <row r="501" spans="1:2" x14ac:dyDescent="0.35">
      <c r="A501" s="1">
        <v>41390</v>
      </c>
      <c r="B501">
        <v>220</v>
      </c>
    </row>
    <row r="502" spans="1:2" x14ac:dyDescent="0.35">
      <c r="A502" s="1">
        <v>41390</v>
      </c>
      <c r="B502">
        <v>55</v>
      </c>
    </row>
    <row r="503" spans="1:2" x14ac:dyDescent="0.35">
      <c r="A503" s="1">
        <v>41390</v>
      </c>
      <c r="B503">
        <v>165</v>
      </c>
    </row>
    <row r="504" spans="1:2" x14ac:dyDescent="0.35">
      <c r="A504" s="1">
        <v>41390</v>
      </c>
      <c r="B504">
        <v>220</v>
      </c>
    </row>
    <row r="505" spans="1:2" x14ac:dyDescent="0.35">
      <c r="A505" s="1">
        <v>41390</v>
      </c>
      <c r="B505">
        <v>220</v>
      </c>
    </row>
    <row r="506" spans="1:2" x14ac:dyDescent="0.35">
      <c r="A506" s="1">
        <v>41390</v>
      </c>
      <c r="B506">
        <v>110</v>
      </c>
    </row>
    <row r="507" spans="1:2" x14ac:dyDescent="0.35">
      <c r="A507" s="1">
        <v>41411</v>
      </c>
      <c r="B507">
        <v>165</v>
      </c>
    </row>
    <row r="508" spans="1:2" x14ac:dyDescent="0.35">
      <c r="A508" s="1">
        <v>41411</v>
      </c>
      <c r="B508">
        <v>55</v>
      </c>
    </row>
    <row r="509" spans="1:2" x14ac:dyDescent="0.35">
      <c r="A509" s="1">
        <v>41411</v>
      </c>
      <c r="B509">
        <v>110</v>
      </c>
    </row>
    <row r="510" spans="1:2" x14ac:dyDescent="0.35">
      <c r="A510" s="1">
        <v>41411</v>
      </c>
      <c r="B510">
        <v>770</v>
      </c>
    </row>
    <row r="511" spans="1:2" x14ac:dyDescent="0.35">
      <c r="A511" s="1">
        <v>41411</v>
      </c>
      <c r="B511">
        <v>110</v>
      </c>
    </row>
    <row r="512" spans="1:2" x14ac:dyDescent="0.35">
      <c r="A512" s="1">
        <v>41411</v>
      </c>
      <c r="B512">
        <v>110</v>
      </c>
    </row>
    <row r="513" spans="1:2" x14ac:dyDescent="0.35">
      <c r="A513" s="1">
        <v>41411</v>
      </c>
      <c r="B513">
        <v>55</v>
      </c>
    </row>
    <row r="514" spans="1:2" x14ac:dyDescent="0.35">
      <c r="A514" s="1">
        <v>41424</v>
      </c>
      <c r="B514">
        <v>110</v>
      </c>
    </row>
    <row r="515" spans="1:2" x14ac:dyDescent="0.35">
      <c r="A515" s="1">
        <v>41449</v>
      </c>
      <c r="B515">
        <v>85</v>
      </c>
    </row>
    <row r="516" spans="1:2" x14ac:dyDescent="0.35">
      <c r="A516" s="1">
        <v>41449</v>
      </c>
      <c r="B516">
        <v>220</v>
      </c>
    </row>
    <row r="517" spans="1:2" x14ac:dyDescent="0.35">
      <c r="A517" s="1">
        <v>41449</v>
      </c>
      <c r="B517">
        <v>55</v>
      </c>
    </row>
    <row r="518" spans="1:2" x14ac:dyDescent="0.35">
      <c r="A518" s="1">
        <v>41449</v>
      </c>
      <c r="B518">
        <v>55</v>
      </c>
    </row>
    <row r="519" spans="1:2" x14ac:dyDescent="0.35">
      <c r="A519" s="1">
        <v>41449</v>
      </c>
      <c r="B519">
        <v>55</v>
      </c>
    </row>
    <row r="520" spans="1:2" x14ac:dyDescent="0.35">
      <c r="A520" s="1">
        <v>41449</v>
      </c>
      <c r="B520">
        <v>55</v>
      </c>
    </row>
    <row r="521" spans="1:2" x14ac:dyDescent="0.35">
      <c r="A521" s="1">
        <v>41449</v>
      </c>
      <c r="B521">
        <v>55</v>
      </c>
    </row>
    <row r="522" spans="1:2" x14ac:dyDescent="0.35">
      <c r="A522" s="1">
        <v>41449</v>
      </c>
      <c r="B522">
        <v>55</v>
      </c>
    </row>
    <row r="523" spans="1:2" x14ac:dyDescent="0.35">
      <c r="A523" s="1">
        <v>41449</v>
      </c>
      <c r="B523">
        <v>275</v>
      </c>
    </row>
    <row r="524" spans="1:2" x14ac:dyDescent="0.35">
      <c r="A524" s="1">
        <v>41449</v>
      </c>
      <c r="B524">
        <v>55</v>
      </c>
    </row>
    <row r="525" spans="1:2" x14ac:dyDescent="0.35">
      <c r="A525" s="1">
        <v>41449</v>
      </c>
      <c r="B525">
        <v>110</v>
      </c>
    </row>
    <row r="526" spans="1:2" x14ac:dyDescent="0.35">
      <c r="A526" s="1">
        <v>41449</v>
      </c>
      <c r="B526">
        <v>220</v>
      </c>
    </row>
    <row r="527" spans="1:2" x14ac:dyDescent="0.35">
      <c r="A527" s="1">
        <v>41506</v>
      </c>
      <c r="B527">
        <v>55</v>
      </c>
    </row>
    <row r="528" spans="1:2" x14ac:dyDescent="0.35">
      <c r="A528" s="1">
        <v>41536</v>
      </c>
      <c r="B528">
        <v>10</v>
      </c>
    </row>
    <row r="529" spans="1:2" x14ac:dyDescent="0.35">
      <c r="A529" s="1">
        <v>41536</v>
      </c>
      <c r="B529">
        <v>20</v>
      </c>
    </row>
    <row r="530" spans="1:2" x14ac:dyDescent="0.35">
      <c r="A530" s="1">
        <v>41536</v>
      </c>
      <c r="B530">
        <v>55</v>
      </c>
    </row>
    <row r="531" spans="1:2" x14ac:dyDescent="0.35">
      <c r="A531" s="1">
        <v>41536</v>
      </c>
      <c r="B531">
        <v>165</v>
      </c>
    </row>
    <row r="532" spans="1:2" x14ac:dyDescent="0.35">
      <c r="A532" s="1">
        <v>41536</v>
      </c>
      <c r="B532">
        <v>165</v>
      </c>
    </row>
    <row r="533" spans="1:2" x14ac:dyDescent="0.35">
      <c r="A533" s="1">
        <v>41578</v>
      </c>
      <c r="B533">
        <v>55</v>
      </c>
    </row>
    <row r="534" spans="1:2" x14ac:dyDescent="0.35">
      <c r="A534" s="1">
        <v>41578</v>
      </c>
      <c r="B534">
        <v>55</v>
      </c>
    </row>
    <row r="535" spans="1:2" x14ac:dyDescent="0.35">
      <c r="A535" s="1">
        <v>41578</v>
      </c>
      <c r="B535">
        <v>55</v>
      </c>
    </row>
    <row r="536" spans="1:2" x14ac:dyDescent="0.35">
      <c r="A536" s="1">
        <v>41578</v>
      </c>
      <c r="B536">
        <v>55</v>
      </c>
    </row>
    <row r="537" spans="1:2" x14ac:dyDescent="0.35">
      <c r="A537" s="1">
        <v>41578</v>
      </c>
      <c r="B537">
        <v>55</v>
      </c>
    </row>
    <row r="538" spans="1:2" x14ac:dyDescent="0.35">
      <c r="A538" s="1">
        <v>41590</v>
      </c>
      <c r="B538">
        <v>55</v>
      </c>
    </row>
    <row r="539" spans="1:2" x14ac:dyDescent="0.35">
      <c r="A539" s="1">
        <v>41610</v>
      </c>
      <c r="B539">
        <v>5</v>
      </c>
    </row>
    <row r="540" spans="1:2" x14ac:dyDescent="0.35">
      <c r="A540" s="1">
        <v>41610</v>
      </c>
      <c r="B540">
        <v>55</v>
      </c>
    </row>
    <row r="541" spans="1:2" x14ac:dyDescent="0.35">
      <c r="A541" s="1">
        <v>41610</v>
      </c>
      <c r="B541">
        <v>55</v>
      </c>
    </row>
    <row r="542" spans="1:2" x14ac:dyDescent="0.35">
      <c r="A542" s="1">
        <v>41610</v>
      </c>
      <c r="B542">
        <v>110</v>
      </c>
    </row>
    <row r="543" spans="1:2" x14ac:dyDescent="0.35">
      <c r="A543" s="1">
        <v>41610</v>
      </c>
      <c r="B543">
        <v>165</v>
      </c>
    </row>
    <row r="544" spans="1:2" x14ac:dyDescent="0.35">
      <c r="A544" s="1">
        <v>41610</v>
      </c>
      <c r="B544">
        <v>550</v>
      </c>
    </row>
    <row r="545" spans="1:2" x14ac:dyDescent="0.35">
      <c r="A545" s="1">
        <v>41610</v>
      </c>
      <c r="B545">
        <v>110</v>
      </c>
    </row>
    <row r="546" spans="1:2" x14ac:dyDescent="0.35">
      <c r="A546" s="1">
        <v>41610</v>
      </c>
      <c r="B546">
        <v>110</v>
      </c>
    </row>
    <row r="547" spans="1:2" x14ac:dyDescent="0.35">
      <c r="A547" s="1">
        <v>41612</v>
      </c>
      <c r="B547">
        <v>275</v>
      </c>
    </row>
    <row r="548" spans="1:2" x14ac:dyDescent="0.35">
      <c r="A548" s="1">
        <v>41612</v>
      </c>
      <c r="B548">
        <v>330</v>
      </c>
    </row>
    <row r="549" spans="1:2" x14ac:dyDescent="0.35">
      <c r="A549" s="1">
        <v>41612</v>
      </c>
      <c r="B549">
        <v>55</v>
      </c>
    </row>
    <row r="550" spans="1:2" x14ac:dyDescent="0.35">
      <c r="A550" s="1">
        <v>41612</v>
      </c>
      <c r="B550">
        <v>55</v>
      </c>
    </row>
    <row r="551" spans="1:2" x14ac:dyDescent="0.35">
      <c r="A551" s="1">
        <v>41612</v>
      </c>
      <c r="B551">
        <v>275</v>
      </c>
    </row>
    <row r="552" spans="1:2" x14ac:dyDescent="0.35">
      <c r="A552" s="1">
        <v>41612</v>
      </c>
      <c r="B552">
        <v>220</v>
      </c>
    </row>
    <row r="553" spans="1:2" x14ac:dyDescent="0.35">
      <c r="A553" s="1">
        <v>41612</v>
      </c>
      <c r="B553">
        <v>605</v>
      </c>
    </row>
    <row r="554" spans="1:2" x14ac:dyDescent="0.35">
      <c r="A554" s="1">
        <v>41612</v>
      </c>
      <c r="B554">
        <v>55</v>
      </c>
    </row>
    <row r="555" spans="1:2" x14ac:dyDescent="0.35">
      <c r="A555" s="1">
        <v>41612</v>
      </c>
      <c r="B555">
        <v>55</v>
      </c>
    </row>
    <row r="556" spans="1:2" x14ac:dyDescent="0.35">
      <c r="A556" s="1">
        <v>41612</v>
      </c>
      <c r="B556">
        <v>55</v>
      </c>
    </row>
    <row r="557" spans="1:2" x14ac:dyDescent="0.35">
      <c r="A557" s="1">
        <v>41612</v>
      </c>
      <c r="B557">
        <v>55</v>
      </c>
    </row>
    <row r="558" spans="1:2" x14ac:dyDescent="0.35">
      <c r="A558" s="1">
        <v>41612</v>
      </c>
      <c r="B558">
        <v>55</v>
      </c>
    </row>
    <row r="559" spans="1:2" x14ac:dyDescent="0.35">
      <c r="A559" s="1">
        <v>41612</v>
      </c>
      <c r="B559">
        <v>55</v>
      </c>
    </row>
    <row r="560" spans="1:2" x14ac:dyDescent="0.35">
      <c r="A560" s="1">
        <v>41612</v>
      </c>
      <c r="B560">
        <v>55</v>
      </c>
    </row>
    <row r="561" spans="1:2" x14ac:dyDescent="0.35">
      <c r="A561" s="1">
        <v>41612</v>
      </c>
      <c r="B561">
        <v>165</v>
      </c>
    </row>
    <row r="562" spans="1:2" x14ac:dyDescent="0.35">
      <c r="A562" s="1">
        <v>41612</v>
      </c>
      <c r="B562">
        <v>220</v>
      </c>
    </row>
    <row r="563" spans="1:2" x14ac:dyDescent="0.35">
      <c r="A563" s="1">
        <v>41612</v>
      </c>
      <c r="B563">
        <v>110</v>
      </c>
    </row>
    <row r="564" spans="1:2" x14ac:dyDescent="0.35">
      <c r="A564" s="1">
        <v>41612</v>
      </c>
      <c r="B564">
        <v>110</v>
      </c>
    </row>
    <row r="565" spans="1:2" x14ac:dyDescent="0.35">
      <c r="A565" s="1">
        <v>41612</v>
      </c>
      <c r="B565">
        <v>110</v>
      </c>
    </row>
    <row r="566" spans="1:2" x14ac:dyDescent="0.35">
      <c r="A566" s="1">
        <v>41612</v>
      </c>
      <c r="B566">
        <v>110</v>
      </c>
    </row>
    <row r="567" spans="1:2" x14ac:dyDescent="0.35">
      <c r="A567" s="1">
        <v>41612</v>
      </c>
      <c r="B567">
        <v>110</v>
      </c>
    </row>
    <row r="568" spans="1:2" x14ac:dyDescent="0.35">
      <c r="A568" s="1">
        <v>41617</v>
      </c>
      <c r="B568">
        <v>55</v>
      </c>
    </row>
    <row r="569" spans="1:2" x14ac:dyDescent="0.35">
      <c r="A569" s="1">
        <v>41617</v>
      </c>
      <c r="B569">
        <v>440</v>
      </c>
    </row>
    <row r="570" spans="1:2" x14ac:dyDescent="0.35">
      <c r="A570" s="1">
        <v>41617</v>
      </c>
      <c r="B570">
        <v>330</v>
      </c>
    </row>
    <row r="571" spans="1:2" x14ac:dyDescent="0.35">
      <c r="A571" s="1">
        <v>41617</v>
      </c>
      <c r="B571">
        <v>275</v>
      </c>
    </row>
    <row r="572" spans="1:2" x14ac:dyDescent="0.35">
      <c r="A572" s="1">
        <v>41617</v>
      </c>
      <c r="B572">
        <v>55</v>
      </c>
    </row>
    <row r="573" spans="1:2" x14ac:dyDescent="0.35">
      <c r="A573" s="1">
        <v>41617</v>
      </c>
      <c r="B573">
        <v>550</v>
      </c>
    </row>
    <row r="574" spans="1:2" x14ac:dyDescent="0.35">
      <c r="A574" s="1">
        <v>41617</v>
      </c>
      <c r="B574">
        <v>330</v>
      </c>
    </row>
    <row r="575" spans="1:2" x14ac:dyDescent="0.35">
      <c r="A575" s="1">
        <v>41617</v>
      </c>
      <c r="B575">
        <v>220</v>
      </c>
    </row>
    <row r="576" spans="1:2" x14ac:dyDescent="0.35">
      <c r="A576" s="1">
        <v>41617</v>
      </c>
      <c r="B576">
        <v>330</v>
      </c>
    </row>
    <row r="577" spans="1:2" x14ac:dyDescent="0.35">
      <c r="A577" s="1">
        <v>41617</v>
      </c>
      <c r="B577">
        <v>110</v>
      </c>
    </row>
    <row r="578" spans="1:2" x14ac:dyDescent="0.35">
      <c r="A578" s="1">
        <v>41617</v>
      </c>
      <c r="B578">
        <v>110</v>
      </c>
    </row>
    <row r="579" spans="1:2" x14ac:dyDescent="0.35">
      <c r="A579" s="1">
        <v>41617</v>
      </c>
      <c r="B579">
        <v>220</v>
      </c>
    </row>
    <row r="580" spans="1:2" x14ac:dyDescent="0.35">
      <c r="A580" s="1">
        <v>41618</v>
      </c>
      <c r="B580">
        <v>20</v>
      </c>
    </row>
    <row r="581" spans="1:2" x14ac:dyDescent="0.35">
      <c r="A581" s="1">
        <v>41619</v>
      </c>
      <c r="B581">
        <v>110</v>
      </c>
    </row>
    <row r="582" spans="1:2" x14ac:dyDescent="0.35">
      <c r="A582" s="1">
        <v>41628</v>
      </c>
      <c r="B582">
        <v>55</v>
      </c>
    </row>
    <row r="583" spans="1:2" x14ac:dyDescent="0.35">
      <c r="A583" s="1">
        <v>41628</v>
      </c>
      <c r="B583">
        <v>110</v>
      </c>
    </row>
    <row r="584" spans="1:2" x14ac:dyDescent="0.35">
      <c r="A584" s="1">
        <v>41628</v>
      </c>
      <c r="B584">
        <v>55</v>
      </c>
    </row>
    <row r="585" spans="1:2" x14ac:dyDescent="0.35">
      <c r="A585" s="1">
        <v>41628</v>
      </c>
      <c r="B585">
        <v>10</v>
      </c>
    </row>
    <row r="586" spans="1:2" x14ac:dyDescent="0.35">
      <c r="A586" s="1">
        <v>41628</v>
      </c>
      <c r="B586">
        <v>55</v>
      </c>
    </row>
    <row r="587" spans="1:2" x14ac:dyDescent="0.35">
      <c r="A587" s="1">
        <v>41628</v>
      </c>
      <c r="B587">
        <v>110</v>
      </c>
    </row>
    <row r="588" spans="1:2" x14ac:dyDescent="0.35">
      <c r="A588" s="1">
        <v>41628</v>
      </c>
      <c r="B588">
        <v>385</v>
      </c>
    </row>
    <row r="589" spans="1:2" x14ac:dyDescent="0.35">
      <c r="A589" s="1">
        <v>41628</v>
      </c>
      <c r="B589">
        <v>550</v>
      </c>
    </row>
    <row r="590" spans="1:2" x14ac:dyDescent="0.35">
      <c r="A590" s="1">
        <v>41628</v>
      </c>
      <c r="B590">
        <v>55</v>
      </c>
    </row>
    <row r="591" spans="1:2" x14ac:dyDescent="0.35">
      <c r="A591" s="1">
        <v>41628</v>
      </c>
      <c r="B591">
        <v>110</v>
      </c>
    </row>
    <row r="592" spans="1:2" x14ac:dyDescent="0.35">
      <c r="A592" s="1">
        <v>41628</v>
      </c>
      <c r="B592">
        <v>55</v>
      </c>
    </row>
    <row r="593" spans="1:2" x14ac:dyDescent="0.35">
      <c r="A593" s="1">
        <v>41628</v>
      </c>
      <c r="B593">
        <v>55</v>
      </c>
    </row>
    <row r="594" spans="1:2" x14ac:dyDescent="0.35">
      <c r="A594" s="1">
        <v>41628</v>
      </c>
      <c r="B594">
        <v>550</v>
      </c>
    </row>
    <row r="595" spans="1:2" x14ac:dyDescent="0.35">
      <c r="A595" s="1">
        <v>41628</v>
      </c>
      <c r="B595">
        <v>55</v>
      </c>
    </row>
    <row r="596" spans="1:2" x14ac:dyDescent="0.35">
      <c r="A596" s="1">
        <v>41628</v>
      </c>
      <c r="B596">
        <v>55</v>
      </c>
    </row>
    <row r="597" spans="1:2" x14ac:dyDescent="0.35">
      <c r="A597" s="1">
        <v>41628</v>
      </c>
      <c r="B597">
        <v>55</v>
      </c>
    </row>
    <row r="598" spans="1:2" x14ac:dyDescent="0.35">
      <c r="A598" s="1">
        <v>41628</v>
      </c>
      <c r="B598">
        <v>55</v>
      </c>
    </row>
    <row r="599" spans="1:2" x14ac:dyDescent="0.35">
      <c r="A599" s="1">
        <v>41628</v>
      </c>
      <c r="B599">
        <v>55</v>
      </c>
    </row>
    <row r="600" spans="1:2" x14ac:dyDescent="0.35">
      <c r="A600" s="1">
        <v>41628</v>
      </c>
      <c r="B600">
        <v>330</v>
      </c>
    </row>
    <row r="601" spans="1:2" x14ac:dyDescent="0.35">
      <c r="A601" s="1">
        <v>41635</v>
      </c>
      <c r="B601">
        <v>110</v>
      </c>
    </row>
    <row r="602" spans="1:2" x14ac:dyDescent="0.35">
      <c r="A602" s="1">
        <v>41635</v>
      </c>
      <c r="B602">
        <v>110</v>
      </c>
    </row>
    <row r="603" spans="1:2" x14ac:dyDescent="0.35">
      <c r="A603" s="1">
        <v>41635</v>
      </c>
      <c r="B603">
        <v>110</v>
      </c>
    </row>
    <row r="604" spans="1:2" x14ac:dyDescent="0.35">
      <c r="A604" s="1">
        <v>41635</v>
      </c>
      <c r="B604">
        <v>110</v>
      </c>
    </row>
    <row r="605" spans="1:2" x14ac:dyDescent="0.35">
      <c r="A605" s="1">
        <v>41635</v>
      </c>
      <c r="B605">
        <v>110</v>
      </c>
    </row>
    <row r="606" spans="1:2" x14ac:dyDescent="0.35">
      <c r="A606" s="1">
        <v>41635</v>
      </c>
      <c r="B606">
        <v>550</v>
      </c>
    </row>
    <row r="607" spans="1:2" x14ac:dyDescent="0.35">
      <c r="A607" s="1">
        <v>41635</v>
      </c>
      <c r="B607">
        <v>15</v>
      </c>
    </row>
    <row r="608" spans="1:2" x14ac:dyDescent="0.35">
      <c r="A608" s="1">
        <v>41757</v>
      </c>
      <c r="B608">
        <v>110</v>
      </c>
    </row>
    <row r="609" spans="1:2" x14ac:dyDescent="0.35">
      <c r="A609" s="1">
        <v>41757</v>
      </c>
      <c r="B609">
        <v>55</v>
      </c>
    </row>
    <row r="610" spans="1:2" x14ac:dyDescent="0.35">
      <c r="A610" s="1">
        <v>41757</v>
      </c>
      <c r="B610">
        <v>55</v>
      </c>
    </row>
    <row r="611" spans="1:2" x14ac:dyDescent="0.35">
      <c r="A611" s="1">
        <v>41757</v>
      </c>
      <c r="B611">
        <v>-55</v>
      </c>
    </row>
    <row r="612" spans="1:2" x14ac:dyDescent="0.35">
      <c r="A612" s="1">
        <v>41757</v>
      </c>
      <c r="B612">
        <v>440</v>
      </c>
    </row>
    <row r="613" spans="1:2" x14ac:dyDescent="0.35">
      <c r="A613" s="1">
        <v>41834</v>
      </c>
      <c r="B613">
        <v>30</v>
      </c>
    </row>
    <row r="614" spans="1:2" x14ac:dyDescent="0.35">
      <c r="A614" s="1">
        <v>41871</v>
      </c>
      <c r="B614">
        <v>55</v>
      </c>
    </row>
    <row r="615" spans="1:2" x14ac:dyDescent="0.35">
      <c r="A615" s="1">
        <v>41871</v>
      </c>
      <c r="B615">
        <v>55</v>
      </c>
    </row>
    <row r="616" spans="1:2" x14ac:dyDescent="0.35">
      <c r="A616" s="1">
        <v>41871</v>
      </c>
      <c r="B616">
        <v>110</v>
      </c>
    </row>
    <row r="617" spans="1:2" x14ac:dyDescent="0.35">
      <c r="A617" s="1">
        <v>41871</v>
      </c>
      <c r="B617">
        <v>165</v>
      </c>
    </row>
    <row r="618" spans="1:2" x14ac:dyDescent="0.35">
      <c r="A618" s="1">
        <v>41871</v>
      </c>
      <c r="B618">
        <v>55</v>
      </c>
    </row>
    <row r="619" spans="1:2" x14ac:dyDescent="0.35">
      <c r="A619" s="1">
        <v>41871</v>
      </c>
      <c r="B619">
        <v>55</v>
      </c>
    </row>
    <row r="620" spans="1:2" x14ac:dyDescent="0.35">
      <c r="A620" s="1">
        <v>41871</v>
      </c>
      <c r="B620">
        <v>110</v>
      </c>
    </row>
    <row r="621" spans="1:2" x14ac:dyDescent="0.35">
      <c r="A621" s="1">
        <v>41871</v>
      </c>
      <c r="B621">
        <v>55</v>
      </c>
    </row>
    <row r="622" spans="1:2" x14ac:dyDescent="0.35">
      <c r="A622" s="1">
        <v>41871</v>
      </c>
      <c r="B622">
        <v>55</v>
      </c>
    </row>
    <row r="623" spans="1:2" x14ac:dyDescent="0.35">
      <c r="A623" s="1">
        <v>41871</v>
      </c>
      <c r="B623">
        <v>110</v>
      </c>
    </row>
    <row r="624" spans="1:2" x14ac:dyDescent="0.35">
      <c r="A624" s="1">
        <v>41871</v>
      </c>
      <c r="B624">
        <v>110</v>
      </c>
    </row>
    <row r="625" spans="1:2" x14ac:dyDescent="0.35">
      <c r="A625" s="1">
        <v>41871</v>
      </c>
      <c r="B625">
        <v>110</v>
      </c>
    </row>
    <row r="626" spans="1:2" x14ac:dyDescent="0.35">
      <c r="A626" s="1">
        <v>41871</v>
      </c>
      <c r="B626">
        <v>55</v>
      </c>
    </row>
    <row r="627" spans="1:2" x14ac:dyDescent="0.35">
      <c r="A627" s="1">
        <v>41871</v>
      </c>
      <c r="B627">
        <v>55</v>
      </c>
    </row>
    <row r="628" spans="1:2" x14ac:dyDescent="0.35">
      <c r="A628" s="1">
        <v>41871</v>
      </c>
      <c r="B628">
        <v>165</v>
      </c>
    </row>
    <row r="629" spans="1:2" x14ac:dyDescent="0.35">
      <c r="A629" s="1">
        <v>41871</v>
      </c>
      <c r="B629">
        <v>55</v>
      </c>
    </row>
    <row r="630" spans="1:2" x14ac:dyDescent="0.35">
      <c r="A630" s="1">
        <v>41871</v>
      </c>
      <c r="B630">
        <v>400</v>
      </c>
    </row>
    <row r="631" spans="1:2" x14ac:dyDescent="0.35">
      <c r="A631" s="1">
        <v>41871</v>
      </c>
      <c r="B631">
        <v>220</v>
      </c>
    </row>
    <row r="632" spans="1:2" x14ac:dyDescent="0.35">
      <c r="A632" s="1">
        <v>41871</v>
      </c>
      <c r="B632">
        <v>315</v>
      </c>
    </row>
    <row r="633" spans="1:2" x14ac:dyDescent="0.35">
      <c r="A633" s="1">
        <v>41871</v>
      </c>
      <c r="B633">
        <v>220</v>
      </c>
    </row>
    <row r="634" spans="1:2" x14ac:dyDescent="0.35">
      <c r="A634" s="1">
        <v>41871</v>
      </c>
      <c r="B634">
        <v>10</v>
      </c>
    </row>
    <row r="635" spans="1:2" x14ac:dyDescent="0.35">
      <c r="A635" s="1">
        <v>41871</v>
      </c>
      <c r="B635">
        <v>55</v>
      </c>
    </row>
    <row r="636" spans="1:2" x14ac:dyDescent="0.35">
      <c r="A636" s="1">
        <v>41911</v>
      </c>
      <c r="B636">
        <v>110</v>
      </c>
    </row>
    <row r="637" spans="1:2" x14ac:dyDescent="0.35">
      <c r="A637" s="1">
        <v>41918</v>
      </c>
      <c r="B637">
        <v>275</v>
      </c>
    </row>
    <row r="638" spans="1:2" x14ac:dyDescent="0.35">
      <c r="A638" s="1">
        <v>41918</v>
      </c>
      <c r="B638">
        <v>110</v>
      </c>
    </row>
    <row r="639" spans="1:2" x14ac:dyDescent="0.35">
      <c r="A639" s="1">
        <v>41918</v>
      </c>
      <c r="B639">
        <v>110</v>
      </c>
    </row>
    <row r="640" spans="1:2" x14ac:dyDescent="0.35">
      <c r="A640" s="1">
        <v>41918</v>
      </c>
      <c r="B640">
        <v>55</v>
      </c>
    </row>
    <row r="641" spans="1:2" x14ac:dyDescent="0.35">
      <c r="A641" s="1">
        <v>41918</v>
      </c>
      <c r="B641">
        <v>110</v>
      </c>
    </row>
    <row r="642" spans="1:2" x14ac:dyDescent="0.35">
      <c r="A642" s="1">
        <v>41918</v>
      </c>
      <c r="B642">
        <v>-55</v>
      </c>
    </row>
    <row r="643" spans="1:2" x14ac:dyDescent="0.35">
      <c r="A643" s="1">
        <v>41918</v>
      </c>
      <c r="B643">
        <v>55</v>
      </c>
    </row>
    <row r="644" spans="1:2" x14ac:dyDescent="0.35">
      <c r="A644" s="1">
        <v>41918</v>
      </c>
      <c r="B644">
        <v>330</v>
      </c>
    </row>
    <row r="645" spans="1:2" x14ac:dyDescent="0.35">
      <c r="A645" s="1">
        <v>41918</v>
      </c>
      <c r="B645">
        <v>385</v>
      </c>
    </row>
    <row r="646" spans="1:2" x14ac:dyDescent="0.35">
      <c r="A646" s="1">
        <v>41925</v>
      </c>
      <c r="B646">
        <v>55</v>
      </c>
    </row>
    <row r="647" spans="1:2" x14ac:dyDescent="0.35">
      <c r="A647" s="1">
        <v>41944</v>
      </c>
      <c r="B647">
        <v>110</v>
      </c>
    </row>
    <row r="648" spans="1:2" x14ac:dyDescent="0.35">
      <c r="A648" s="1">
        <v>41944</v>
      </c>
      <c r="B648">
        <v>550</v>
      </c>
    </row>
    <row r="649" spans="1:2" x14ac:dyDescent="0.35">
      <c r="A649" s="1">
        <v>41944</v>
      </c>
      <c r="B649">
        <v>440</v>
      </c>
    </row>
    <row r="650" spans="1:2" x14ac:dyDescent="0.35">
      <c r="A650" s="1">
        <v>41944</v>
      </c>
      <c r="B650">
        <v>330</v>
      </c>
    </row>
    <row r="651" spans="1:2" x14ac:dyDescent="0.35">
      <c r="A651" s="1">
        <v>41944</v>
      </c>
      <c r="B651">
        <v>275</v>
      </c>
    </row>
    <row r="652" spans="1:2" x14ac:dyDescent="0.35">
      <c r="A652" s="1">
        <v>41944</v>
      </c>
      <c r="B652">
        <v>165</v>
      </c>
    </row>
    <row r="653" spans="1:2" x14ac:dyDescent="0.35">
      <c r="A653" s="1">
        <v>41944</v>
      </c>
      <c r="B653">
        <v>55</v>
      </c>
    </row>
    <row r="654" spans="1:2" x14ac:dyDescent="0.35">
      <c r="A654" s="1">
        <v>41944</v>
      </c>
      <c r="B654">
        <v>330</v>
      </c>
    </row>
    <row r="655" spans="1:2" x14ac:dyDescent="0.35">
      <c r="A655" s="1">
        <v>41944</v>
      </c>
      <c r="B655">
        <v>165</v>
      </c>
    </row>
    <row r="656" spans="1:2" x14ac:dyDescent="0.35">
      <c r="A656" s="1">
        <v>41944</v>
      </c>
      <c r="B656">
        <v>440</v>
      </c>
    </row>
    <row r="657" spans="1:2" x14ac:dyDescent="0.35">
      <c r="A657" s="1">
        <v>41944</v>
      </c>
      <c r="B657">
        <v>385</v>
      </c>
    </row>
    <row r="658" spans="1:2" x14ac:dyDescent="0.35">
      <c r="A658" s="1">
        <v>41944</v>
      </c>
      <c r="B658">
        <v>220</v>
      </c>
    </row>
    <row r="659" spans="1:2" x14ac:dyDescent="0.35">
      <c r="A659" s="1">
        <v>41944</v>
      </c>
      <c r="B659">
        <v>330</v>
      </c>
    </row>
    <row r="660" spans="1:2" x14ac:dyDescent="0.35">
      <c r="A660" s="1">
        <v>41944</v>
      </c>
      <c r="B660">
        <v>110</v>
      </c>
    </row>
    <row r="661" spans="1:2" x14ac:dyDescent="0.35">
      <c r="A661" s="1">
        <v>41944</v>
      </c>
      <c r="B661">
        <v>55</v>
      </c>
    </row>
    <row r="662" spans="1:2" x14ac:dyDescent="0.35">
      <c r="A662" s="1">
        <v>41944</v>
      </c>
      <c r="B662">
        <v>110</v>
      </c>
    </row>
    <row r="663" spans="1:2" x14ac:dyDescent="0.35">
      <c r="A663" s="1">
        <v>41944</v>
      </c>
      <c r="B663">
        <v>220</v>
      </c>
    </row>
    <row r="664" spans="1:2" x14ac:dyDescent="0.35">
      <c r="A664" s="1">
        <v>41944</v>
      </c>
      <c r="B664">
        <v>110</v>
      </c>
    </row>
    <row r="665" spans="1:2" x14ac:dyDescent="0.35">
      <c r="A665" s="1">
        <v>41944</v>
      </c>
      <c r="B665">
        <v>55</v>
      </c>
    </row>
    <row r="666" spans="1:2" x14ac:dyDescent="0.35">
      <c r="A666" s="1">
        <v>41944</v>
      </c>
      <c r="B666">
        <v>110</v>
      </c>
    </row>
    <row r="667" spans="1:2" x14ac:dyDescent="0.35">
      <c r="A667" s="1">
        <v>41944</v>
      </c>
      <c r="B667">
        <v>55</v>
      </c>
    </row>
    <row r="668" spans="1:2" x14ac:dyDescent="0.35">
      <c r="A668" s="1">
        <v>41944</v>
      </c>
      <c r="B668">
        <v>220</v>
      </c>
    </row>
    <row r="669" spans="1:2" x14ac:dyDescent="0.35">
      <c r="A669" s="1">
        <v>41944</v>
      </c>
      <c r="B669">
        <v>110</v>
      </c>
    </row>
    <row r="670" spans="1:2" x14ac:dyDescent="0.35">
      <c r="A670" s="1">
        <v>41944</v>
      </c>
      <c r="B670">
        <v>110</v>
      </c>
    </row>
    <row r="671" spans="1:2" x14ac:dyDescent="0.35">
      <c r="A671" s="1">
        <v>41944</v>
      </c>
      <c r="B671">
        <v>55</v>
      </c>
    </row>
    <row r="672" spans="1:2" x14ac:dyDescent="0.35">
      <c r="A672" s="1">
        <v>41945</v>
      </c>
      <c r="B672">
        <v>55</v>
      </c>
    </row>
    <row r="673" spans="1:2" x14ac:dyDescent="0.35">
      <c r="A673" s="1">
        <v>41945</v>
      </c>
      <c r="B673">
        <v>110</v>
      </c>
    </row>
    <row r="674" spans="1:2" x14ac:dyDescent="0.35">
      <c r="A674" s="1">
        <v>41945</v>
      </c>
      <c r="B674">
        <v>5</v>
      </c>
    </row>
    <row r="675" spans="1:2" x14ac:dyDescent="0.35">
      <c r="A675" s="1">
        <v>41945</v>
      </c>
      <c r="B675">
        <v>-55</v>
      </c>
    </row>
    <row r="676" spans="1:2" x14ac:dyDescent="0.35">
      <c r="A676" s="1">
        <v>41945</v>
      </c>
      <c r="B676">
        <v>55</v>
      </c>
    </row>
    <row r="677" spans="1:2" x14ac:dyDescent="0.35">
      <c r="A677" s="1">
        <v>41945</v>
      </c>
      <c r="B677">
        <v>55</v>
      </c>
    </row>
    <row r="678" spans="1:2" x14ac:dyDescent="0.35">
      <c r="A678" s="1">
        <v>41945</v>
      </c>
      <c r="B678">
        <v>110</v>
      </c>
    </row>
    <row r="679" spans="1:2" x14ac:dyDescent="0.35">
      <c r="A679" s="1">
        <v>41945</v>
      </c>
      <c r="B679">
        <v>110</v>
      </c>
    </row>
    <row r="680" spans="1:2" x14ac:dyDescent="0.35">
      <c r="A680" s="1">
        <v>41945</v>
      </c>
      <c r="B680">
        <v>110</v>
      </c>
    </row>
    <row r="681" spans="1:2" x14ac:dyDescent="0.35">
      <c r="A681" s="1">
        <v>41945</v>
      </c>
      <c r="B681">
        <v>55</v>
      </c>
    </row>
    <row r="682" spans="1:2" x14ac:dyDescent="0.35">
      <c r="A682" s="1">
        <v>41945</v>
      </c>
      <c r="B682">
        <v>550</v>
      </c>
    </row>
    <row r="683" spans="1:2" x14ac:dyDescent="0.35">
      <c r="A683" s="1">
        <v>41945</v>
      </c>
      <c r="B683">
        <v>55</v>
      </c>
    </row>
    <row r="684" spans="1:2" x14ac:dyDescent="0.35">
      <c r="A684" s="1">
        <v>41946</v>
      </c>
      <c r="B684">
        <v>110</v>
      </c>
    </row>
    <row r="685" spans="1:2" x14ac:dyDescent="0.35">
      <c r="A685" s="1">
        <v>41947</v>
      </c>
      <c r="B685">
        <v>55</v>
      </c>
    </row>
    <row r="686" spans="1:2" x14ac:dyDescent="0.35">
      <c r="A686" s="1">
        <v>41947</v>
      </c>
      <c r="B686">
        <v>55</v>
      </c>
    </row>
    <row r="687" spans="1:2" x14ac:dyDescent="0.35">
      <c r="A687" s="1">
        <v>41956</v>
      </c>
      <c r="B687">
        <v>220</v>
      </c>
    </row>
    <row r="688" spans="1:2" x14ac:dyDescent="0.35">
      <c r="A688" s="1">
        <v>41961</v>
      </c>
      <c r="B688">
        <v>55</v>
      </c>
    </row>
    <row r="689" spans="1:2" x14ac:dyDescent="0.35">
      <c r="A689" s="1">
        <v>41969</v>
      </c>
      <c r="B689">
        <v>110</v>
      </c>
    </row>
    <row r="690" spans="1:2" x14ac:dyDescent="0.35">
      <c r="A690" s="1">
        <v>41993</v>
      </c>
      <c r="B690">
        <v>275</v>
      </c>
    </row>
    <row r="691" spans="1:2" x14ac:dyDescent="0.35">
      <c r="A691" s="1">
        <v>41993</v>
      </c>
      <c r="B691">
        <v>55</v>
      </c>
    </row>
    <row r="692" spans="1:2" x14ac:dyDescent="0.35">
      <c r="A692" s="1">
        <v>41993</v>
      </c>
      <c r="B692">
        <v>55</v>
      </c>
    </row>
    <row r="693" spans="1:2" x14ac:dyDescent="0.35">
      <c r="A693" s="1">
        <v>41993</v>
      </c>
      <c r="B693">
        <v>220</v>
      </c>
    </row>
    <row r="694" spans="1:2" x14ac:dyDescent="0.35">
      <c r="A694" s="1">
        <v>41993</v>
      </c>
      <c r="B694">
        <v>55</v>
      </c>
    </row>
    <row r="695" spans="1:2" x14ac:dyDescent="0.35">
      <c r="A695" s="1">
        <v>41993</v>
      </c>
      <c r="B695">
        <v>330</v>
      </c>
    </row>
    <row r="696" spans="1:2" x14ac:dyDescent="0.35">
      <c r="A696" s="1">
        <v>41993</v>
      </c>
      <c r="B696">
        <v>220</v>
      </c>
    </row>
    <row r="697" spans="1:2" x14ac:dyDescent="0.35">
      <c r="A697" s="1">
        <v>41993</v>
      </c>
      <c r="B697">
        <v>385</v>
      </c>
    </row>
    <row r="698" spans="1:2" x14ac:dyDescent="0.35">
      <c r="A698" s="1">
        <v>41993</v>
      </c>
      <c r="B698">
        <v>-330</v>
      </c>
    </row>
    <row r="699" spans="1:2" x14ac:dyDescent="0.35">
      <c r="A699" s="1">
        <v>41993</v>
      </c>
      <c r="B699">
        <v>110</v>
      </c>
    </row>
    <row r="700" spans="1:2" x14ac:dyDescent="0.35">
      <c r="A700" s="1">
        <v>41993</v>
      </c>
      <c r="B700">
        <v>220</v>
      </c>
    </row>
    <row r="701" spans="1:2" x14ac:dyDescent="0.35">
      <c r="A701" s="1">
        <v>41993</v>
      </c>
      <c r="B701">
        <v>220</v>
      </c>
    </row>
    <row r="702" spans="1:2" x14ac:dyDescent="0.35">
      <c r="A702" s="1">
        <v>41993</v>
      </c>
      <c r="B702">
        <v>165</v>
      </c>
    </row>
    <row r="703" spans="1:2" x14ac:dyDescent="0.35">
      <c r="A703" s="1">
        <v>41993</v>
      </c>
      <c r="B703">
        <v>110</v>
      </c>
    </row>
    <row r="704" spans="1:2" x14ac:dyDescent="0.35">
      <c r="A704" s="1">
        <v>41993</v>
      </c>
      <c r="B704">
        <v>165</v>
      </c>
    </row>
    <row r="705" spans="1:2" x14ac:dyDescent="0.35">
      <c r="A705" s="1">
        <v>41993</v>
      </c>
      <c r="B705">
        <v>165</v>
      </c>
    </row>
    <row r="706" spans="1:2" x14ac:dyDescent="0.35">
      <c r="A706" s="1">
        <v>41993</v>
      </c>
      <c r="B706">
        <v>165</v>
      </c>
    </row>
    <row r="707" spans="1:2" x14ac:dyDescent="0.35">
      <c r="A707" s="1">
        <v>41993</v>
      </c>
      <c r="B707">
        <v>110</v>
      </c>
    </row>
    <row r="708" spans="1:2" x14ac:dyDescent="0.35">
      <c r="A708" s="1">
        <v>41993</v>
      </c>
      <c r="B708">
        <v>220</v>
      </c>
    </row>
    <row r="709" spans="1:2" x14ac:dyDescent="0.35">
      <c r="A709" s="1">
        <v>41993</v>
      </c>
      <c r="B709">
        <v>110</v>
      </c>
    </row>
    <row r="710" spans="1:2" x14ac:dyDescent="0.35">
      <c r="A710" s="1">
        <v>41993</v>
      </c>
      <c r="B710">
        <v>220</v>
      </c>
    </row>
    <row r="711" spans="1:2" x14ac:dyDescent="0.35">
      <c r="A711" s="1">
        <v>41993</v>
      </c>
      <c r="B711">
        <v>385</v>
      </c>
    </row>
    <row r="712" spans="1:2" x14ac:dyDescent="0.35">
      <c r="A712" s="1">
        <v>41993</v>
      </c>
      <c r="B712">
        <v>55</v>
      </c>
    </row>
    <row r="713" spans="1:2" x14ac:dyDescent="0.35">
      <c r="A713" s="1">
        <v>41993</v>
      </c>
      <c r="B713">
        <v>220</v>
      </c>
    </row>
    <row r="714" spans="1:2" x14ac:dyDescent="0.35">
      <c r="A714" s="1">
        <v>41993</v>
      </c>
      <c r="B714">
        <v>330</v>
      </c>
    </row>
    <row r="715" spans="1:2" x14ac:dyDescent="0.35">
      <c r="A715" s="1">
        <v>41993</v>
      </c>
      <c r="B715">
        <v>55</v>
      </c>
    </row>
    <row r="716" spans="1:2" x14ac:dyDescent="0.35">
      <c r="A716" s="1">
        <v>41993</v>
      </c>
      <c r="B716">
        <v>55</v>
      </c>
    </row>
    <row r="717" spans="1:2" x14ac:dyDescent="0.35">
      <c r="A717" s="1">
        <v>41993</v>
      </c>
      <c r="B717">
        <v>55</v>
      </c>
    </row>
    <row r="718" spans="1:2" x14ac:dyDescent="0.35">
      <c r="A718" s="1">
        <v>41993</v>
      </c>
      <c r="B718">
        <v>55</v>
      </c>
    </row>
    <row r="719" spans="1:2" x14ac:dyDescent="0.35">
      <c r="A719" s="1">
        <v>41993</v>
      </c>
      <c r="B719">
        <v>55</v>
      </c>
    </row>
    <row r="720" spans="1:2" x14ac:dyDescent="0.35">
      <c r="A720" s="1">
        <v>41993</v>
      </c>
      <c r="B720">
        <v>220</v>
      </c>
    </row>
    <row r="721" spans="1:2" x14ac:dyDescent="0.35">
      <c r="A721" s="1">
        <v>41993</v>
      </c>
      <c r="B721">
        <v>110</v>
      </c>
    </row>
    <row r="722" spans="1:2" x14ac:dyDescent="0.35">
      <c r="A722" s="1">
        <v>41993</v>
      </c>
      <c r="B722">
        <v>275</v>
      </c>
    </row>
    <row r="723" spans="1:2" x14ac:dyDescent="0.35">
      <c r="A723" s="1">
        <v>41993</v>
      </c>
      <c r="B723">
        <v>110</v>
      </c>
    </row>
    <row r="724" spans="1:2" x14ac:dyDescent="0.35">
      <c r="A724" s="1">
        <v>41993</v>
      </c>
      <c r="B724">
        <v>330</v>
      </c>
    </row>
    <row r="725" spans="1:2" x14ac:dyDescent="0.35">
      <c r="A725" s="1">
        <v>41993</v>
      </c>
      <c r="B725">
        <v>330</v>
      </c>
    </row>
    <row r="726" spans="1:2" x14ac:dyDescent="0.35">
      <c r="A726" s="1">
        <v>41993</v>
      </c>
      <c r="B726">
        <v>110</v>
      </c>
    </row>
    <row r="727" spans="1:2" x14ac:dyDescent="0.35">
      <c r="A727" s="1">
        <v>41993</v>
      </c>
      <c r="B727">
        <v>110</v>
      </c>
    </row>
    <row r="728" spans="1:2" x14ac:dyDescent="0.35">
      <c r="A728" s="1">
        <v>41993</v>
      </c>
      <c r="B728">
        <v>55</v>
      </c>
    </row>
    <row r="729" spans="1:2" x14ac:dyDescent="0.35">
      <c r="A729" s="1">
        <v>41993</v>
      </c>
      <c r="B729">
        <v>165</v>
      </c>
    </row>
    <row r="730" spans="1:2" x14ac:dyDescent="0.35">
      <c r="A730" s="1">
        <v>41993</v>
      </c>
      <c r="B730">
        <v>220</v>
      </c>
    </row>
    <row r="731" spans="1:2" x14ac:dyDescent="0.35">
      <c r="A731" s="1">
        <v>41993</v>
      </c>
      <c r="B731">
        <v>330</v>
      </c>
    </row>
    <row r="732" spans="1:2" x14ac:dyDescent="0.35">
      <c r="A732" s="1">
        <v>41993</v>
      </c>
      <c r="B732">
        <v>440</v>
      </c>
    </row>
    <row r="733" spans="1:2" x14ac:dyDescent="0.35">
      <c r="A733" s="1">
        <v>41993</v>
      </c>
      <c r="B733">
        <v>330</v>
      </c>
    </row>
    <row r="734" spans="1:2" x14ac:dyDescent="0.35">
      <c r="A734" s="1">
        <v>41993</v>
      </c>
      <c r="B734">
        <v>440</v>
      </c>
    </row>
    <row r="735" spans="1:2" x14ac:dyDescent="0.35">
      <c r="A735" s="1">
        <v>41993</v>
      </c>
      <c r="B735">
        <v>165</v>
      </c>
    </row>
    <row r="736" spans="1:2" x14ac:dyDescent="0.35">
      <c r="A736" s="1">
        <v>41993</v>
      </c>
      <c r="B736">
        <v>110</v>
      </c>
    </row>
    <row r="737" spans="1:2" x14ac:dyDescent="0.35">
      <c r="A737" s="1">
        <v>41993</v>
      </c>
      <c r="B737">
        <v>55</v>
      </c>
    </row>
    <row r="738" spans="1:2" x14ac:dyDescent="0.35">
      <c r="A738" s="1">
        <v>41993</v>
      </c>
      <c r="B738">
        <v>1100</v>
      </c>
    </row>
    <row r="739" spans="1:2" x14ac:dyDescent="0.35">
      <c r="A739" s="1">
        <v>41993</v>
      </c>
      <c r="B739">
        <v>55</v>
      </c>
    </row>
    <row r="740" spans="1:2" x14ac:dyDescent="0.35">
      <c r="A740" s="1">
        <v>41993</v>
      </c>
      <c r="B740">
        <v>110</v>
      </c>
    </row>
    <row r="741" spans="1:2" x14ac:dyDescent="0.35">
      <c r="A741" s="1">
        <v>41993</v>
      </c>
      <c r="B741">
        <v>55</v>
      </c>
    </row>
    <row r="742" spans="1:2" x14ac:dyDescent="0.35">
      <c r="A742" s="1">
        <v>41993</v>
      </c>
      <c r="B742">
        <v>-55</v>
      </c>
    </row>
    <row r="743" spans="1:2" x14ac:dyDescent="0.35">
      <c r="A743" s="1">
        <v>41993</v>
      </c>
      <c r="B743">
        <v>385</v>
      </c>
    </row>
    <row r="744" spans="1:2" x14ac:dyDescent="0.35">
      <c r="A744" s="1">
        <v>41993</v>
      </c>
      <c r="B744">
        <v>55</v>
      </c>
    </row>
    <row r="745" spans="1:2" x14ac:dyDescent="0.35">
      <c r="A745" s="1">
        <v>41993</v>
      </c>
      <c r="B745">
        <v>110</v>
      </c>
    </row>
    <row r="746" spans="1:2" x14ac:dyDescent="0.35">
      <c r="A746" s="1">
        <v>41995</v>
      </c>
      <c r="B746">
        <v>165</v>
      </c>
    </row>
    <row r="747" spans="1:2" x14ac:dyDescent="0.35">
      <c r="A747" s="1">
        <v>41995</v>
      </c>
      <c r="B747">
        <v>220</v>
      </c>
    </row>
    <row r="748" spans="1:2" x14ac:dyDescent="0.35">
      <c r="A748" s="1">
        <v>41995</v>
      </c>
      <c r="B748">
        <v>55</v>
      </c>
    </row>
    <row r="749" spans="1:2" x14ac:dyDescent="0.35">
      <c r="A749" s="1">
        <v>41995</v>
      </c>
      <c r="B749">
        <v>165</v>
      </c>
    </row>
    <row r="750" spans="1:2" x14ac:dyDescent="0.35">
      <c r="A750" s="1">
        <v>41995</v>
      </c>
      <c r="B750">
        <v>55</v>
      </c>
    </row>
    <row r="751" spans="1:2" x14ac:dyDescent="0.35">
      <c r="A751" s="1">
        <v>41995</v>
      </c>
      <c r="B751">
        <v>220</v>
      </c>
    </row>
    <row r="752" spans="1:2" x14ac:dyDescent="0.35">
      <c r="A752" s="1">
        <v>41995</v>
      </c>
      <c r="B752">
        <v>165</v>
      </c>
    </row>
    <row r="753" spans="1:2" x14ac:dyDescent="0.35">
      <c r="A753" s="1">
        <v>41995</v>
      </c>
      <c r="B753">
        <v>55</v>
      </c>
    </row>
    <row r="754" spans="1:2" x14ac:dyDescent="0.35">
      <c r="A754" s="1">
        <v>41995</v>
      </c>
      <c r="B754">
        <v>55</v>
      </c>
    </row>
    <row r="755" spans="1:2" x14ac:dyDescent="0.35">
      <c r="A755" s="1">
        <v>41995</v>
      </c>
      <c r="B755">
        <v>110</v>
      </c>
    </row>
    <row r="756" spans="1:2" x14ac:dyDescent="0.35">
      <c r="A756" s="1">
        <v>41995</v>
      </c>
      <c r="B756">
        <v>55</v>
      </c>
    </row>
    <row r="757" spans="1:2" x14ac:dyDescent="0.35">
      <c r="A757" s="1">
        <v>41995</v>
      </c>
      <c r="B757">
        <v>110</v>
      </c>
    </row>
    <row r="758" spans="1:2" x14ac:dyDescent="0.35">
      <c r="A758" s="1">
        <v>41995</v>
      </c>
      <c r="B758">
        <v>55</v>
      </c>
    </row>
    <row r="759" spans="1:2" x14ac:dyDescent="0.35">
      <c r="A759" s="1">
        <v>41995</v>
      </c>
      <c r="B759">
        <v>55</v>
      </c>
    </row>
    <row r="760" spans="1:2" x14ac:dyDescent="0.35">
      <c r="A760" s="1">
        <v>41995</v>
      </c>
      <c r="B760">
        <v>70</v>
      </c>
    </row>
    <row r="761" spans="1:2" x14ac:dyDescent="0.35">
      <c r="A761" s="1">
        <v>41995</v>
      </c>
      <c r="B761">
        <v>935</v>
      </c>
    </row>
    <row r="762" spans="1:2" x14ac:dyDescent="0.35">
      <c r="A762" s="1">
        <v>41995</v>
      </c>
      <c r="B762">
        <v>10</v>
      </c>
    </row>
    <row r="763" spans="1:2" x14ac:dyDescent="0.35">
      <c r="A763" s="1">
        <v>41995</v>
      </c>
      <c r="B763">
        <v>55</v>
      </c>
    </row>
    <row r="764" spans="1:2" x14ac:dyDescent="0.35">
      <c r="A764" s="1">
        <v>41995</v>
      </c>
      <c r="B764">
        <v>550</v>
      </c>
    </row>
    <row r="765" spans="1:2" x14ac:dyDescent="0.35">
      <c r="A765" s="1">
        <v>41995</v>
      </c>
      <c r="B765">
        <v>-85</v>
      </c>
    </row>
    <row r="766" spans="1:2" x14ac:dyDescent="0.35">
      <c r="A766" s="1">
        <v>41995</v>
      </c>
      <c r="B766">
        <v>220</v>
      </c>
    </row>
    <row r="767" spans="1:2" x14ac:dyDescent="0.35">
      <c r="A767" s="1">
        <v>41995</v>
      </c>
      <c r="B767">
        <v>495</v>
      </c>
    </row>
    <row r="768" spans="1:2" x14ac:dyDescent="0.35">
      <c r="A768" s="1">
        <v>41995</v>
      </c>
      <c r="B768">
        <v>110</v>
      </c>
    </row>
    <row r="769" spans="1:2" x14ac:dyDescent="0.35">
      <c r="A769" s="1">
        <v>41995</v>
      </c>
      <c r="B769">
        <v>385</v>
      </c>
    </row>
    <row r="770" spans="1:2" x14ac:dyDescent="0.35">
      <c r="A770" s="1">
        <v>41995</v>
      </c>
      <c r="B770">
        <v>110</v>
      </c>
    </row>
    <row r="771" spans="1:2" x14ac:dyDescent="0.35">
      <c r="A771" s="1">
        <v>41995</v>
      </c>
      <c r="B771">
        <v>495</v>
      </c>
    </row>
    <row r="772" spans="1:2" x14ac:dyDescent="0.35">
      <c r="A772" s="1">
        <v>42002</v>
      </c>
      <c r="B772">
        <v>110</v>
      </c>
    </row>
    <row r="773" spans="1:2" x14ac:dyDescent="0.35">
      <c r="A773" s="1">
        <v>42002</v>
      </c>
      <c r="B773">
        <v>165</v>
      </c>
    </row>
    <row r="774" spans="1:2" x14ac:dyDescent="0.35">
      <c r="A774" s="1">
        <v>42002</v>
      </c>
      <c r="B774">
        <v>220</v>
      </c>
    </row>
    <row r="775" spans="1:2" x14ac:dyDescent="0.35">
      <c r="A775" s="1">
        <v>42002</v>
      </c>
      <c r="B775">
        <v>200</v>
      </c>
    </row>
    <row r="776" spans="1:2" x14ac:dyDescent="0.35">
      <c r="A776" s="1">
        <v>42002</v>
      </c>
      <c r="B776">
        <v>330</v>
      </c>
    </row>
    <row r="777" spans="1:2" x14ac:dyDescent="0.35">
      <c r="A777" s="1">
        <v>42002</v>
      </c>
      <c r="B777">
        <v>220</v>
      </c>
    </row>
    <row r="778" spans="1:2" x14ac:dyDescent="0.35">
      <c r="A778" s="1">
        <v>42002</v>
      </c>
      <c r="B778">
        <v>100</v>
      </c>
    </row>
    <row r="779" spans="1:2" x14ac:dyDescent="0.35">
      <c r="A779" s="1">
        <v>42002</v>
      </c>
      <c r="B779">
        <v>55</v>
      </c>
    </row>
    <row r="780" spans="1:2" x14ac:dyDescent="0.35">
      <c r="A780" s="1">
        <v>42002</v>
      </c>
      <c r="B780">
        <v>330</v>
      </c>
    </row>
    <row r="781" spans="1:2" x14ac:dyDescent="0.35">
      <c r="A781" s="1">
        <v>42002</v>
      </c>
      <c r="B781">
        <v>260</v>
      </c>
    </row>
    <row r="782" spans="1:2" x14ac:dyDescent="0.35">
      <c r="A782" s="1">
        <v>42002</v>
      </c>
      <c r="B782">
        <v>170</v>
      </c>
    </row>
    <row r="783" spans="1:2" x14ac:dyDescent="0.35">
      <c r="A783" s="1">
        <v>42034</v>
      </c>
      <c r="B783">
        <v>55</v>
      </c>
    </row>
    <row r="784" spans="1:2" x14ac:dyDescent="0.35">
      <c r="A784" s="1">
        <v>42052</v>
      </c>
      <c r="B784">
        <v>55</v>
      </c>
    </row>
    <row r="785" spans="1:2" x14ac:dyDescent="0.35">
      <c r="A785" s="1">
        <v>42052</v>
      </c>
      <c r="B785">
        <v>55</v>
      </c>
    </row>
    <row r="786" spans="1:2" x14ac:dyDescent="0.35">
      <c r="A786" s="1">
        <v>42052</v>
      </c>
      <c r="B786">
        <v>55</v>
      </c>
    </row>
    <row r="787" spans="1:2" x14ac:dyDescent="0.35">
      <c r="A787" s="1">
        <v>42059</v>
      </c>
      <c r="B787">
        <v>110</v>
      </c>
    </row>
    <row r="788" spans="1:2" x14ac:dyDescent="0.35">
      <c r="A788" s="1">
        <v>42059</v>
      </c>
      <c r="B788">
        <v>55</v>
      </c>
    </row>
    <row r="789" spans="1:2" x14ac:dyDescent="0.35">
      <c r="A789" s="1">
        <v>42062</v>
      </c>
      <c r="B789">
        <v>-25</v>
      </c>
    </row>
    <row r="790" spans="1:2" x14ac:dyDescent="0.35">
      <c r="A790" s="1">
        <v>42068</v>
      </c>
      <c r="B790">
        <v>55</v>
      </c>
    </row>
    <row r="791" spans="1:2" x14ac:dyDescent="0.35">
      <c r="A791" s="1">
        <v>42076</v>
      </c>
      <c r="B791">
        <v>55</v>
      </c>
    </row>
    <row r="792" spans="1:2" x14ac:dyDescent="0.35">
      <c r="A792" s="1">
        <v>42076</v>
      </c>
      <c r="B792">
        <v>110</v>
      </c>
    </row>
    <row r="793" spans="1:2" x14ac:dyDescent="0.35">
      <c r="A793" s="1">
        <v>42080</v>
      </c>
      <c r="B793">
        <v>220</v>
      </c>
    </row>
    <row r="794" spans="1:2" x14ac:dyDescent="0.35">
      <c r="A794" s="1">
        <v>42083</v>
      </c>
      <c r="B794">
        <v>660</v>
      </c>
    </row>
    <row r="795" spans="1:2" x14ac:dyDescent="0.35">
      <c r="A795" s="1">
        <v>42093</v>
      </c>
      <c r="B795">
        <v>385</v>
      </c>
    </row>
    <row r="796" spans="1:2" x14ac:dyDescent="0.35">
      <c r="A796" s="1">
        <v>42097</v>
      </c>
      <c r="B796">
        <v>55</v>
      </c>
    </row>
    <row r="797" spans="1:2" x14ac:dyDescent="0.35">
      <c r="A797" s="1">
        <v>42115</v>
      </c>
      <c r="B797">
        <v>330</v>
      </c>
    </row>
    <row r="798" spans="1:2" x14ac:dyDescent="0.35">
      <c r="A798" s="1">
        <v>42115</v>
      </c>
      <c r="B798">
        <v>550</v>
      </c>
    </row>
    <row r="799" spans="1:2" x14ac:dyDescent="0.35">
      <c r="A799" s="1">
        <v>42115</v>
      </c>
      <c r="B799">
        <v>275</v>
      </c>
    </row>
    <row r="800" spans="1:2" x14ac:dyDescent="0.35">
      <c r="A800" s="1">
        <v>42115</v>
      </c>
      <c r="B800">
        <v>220</v>
      </c>
    </row>
    <row r="801" spans="1:2" x14ac:dyDescent="0.35">
      <c r="A801" s="1">
        <v>42115</v>
      </c>
      <c r="B801">
        <v>110</v>
      </c>
    </row>
    <row r="802" spans="1:2" x14ac:dyDescent="0.35">
      <c r="A802" s="1">
        <v>42116</v>
      </c>
      <c r="B802">
        <v>55</v>
      </c>
    </row>
    <row r="803" spans="1:2" x14ac:dyDescent="0.35">
      <c r="A803" s="1">
        <v>42116</v>
      </c>
      <c r="B803">
        <v>110</v>
      </c>
    </row>
    <row r="804" spans="1:2" x14ac:dyDescent="0.35">
      <c r="A804" s="1">
        <v>42116</v>
      </c>
      <c r="B804">
        <v>165</v>
      </c>
    </row>
    <row r="805" spans="1:2" x14ac:dyDescent="0.35">
      <c r="A805" s="1">
        <v>42116</v>
      </c>
      <c r="B805">
        <v>55</v>
      </c>
    </row>
    <row r="806" spans="1:2" x14ac:dyDescent="0.35">
      <c r="A806" s="1">
        <v>42117</v>
      </c>
      <c r="B806">
        <v>55</v>
      </c>
    </row>
    <row r="807" spans="1:2" x14ac:dyDescent="0.35">
      <c r="A807" s="1">
        <v>42117</v>
      </c>
      <c r="B807">
        <v>165</v>
      </c>
    </row>
    <row r="808" spans="1:2" x14ac:dyDescent="0.35">
      <c r="A808" s="1">
        <v>42123</v>
      </c>
      <c r="B808">
        <v>55</v>
      </c>
    </row>
    <row r="809" spans="1:2" x14ac:dyDescent="0.35">
      <c r="A809" s="1">
        <v>42123</v>
      </c>
      <c r="B809">
        <v>55</v>
      </c>
    </row>
    <row r="810" spans="1:2" x14ac:dyDescent="0.35">
      <c r="A810" s="1">
        <v>42123</v>
      </c>
      <c r="B810">
        <v>110</v>
      </c>
    </row>
    <row r="811" spans="1:2" x14ac:dyDescent="0.35">
      <c r="A811" s="1">
        <v>42123</v>
      </c>
      <c r="B811">
        <v>220</v>
      </c>
    </row>
    <row r="812" spans="1:2" x14ac:dyDescent="0.35">
      <c r="A812" s="1">
        <v>42124</v>
      </c>
      <c r="B812">
        <v>55</v>
      </c>
    </row>
    <row r="813" spans="1:2" x14ac:dyDescent="0.35">
      <c r="A813" s="1">
        <v>42128</v>
      </c>
      <c r="B813">
        <v>330</v>
      </c>
    </row>
    <row r="814" spans="1:2" x14ac:dyDescent="0.35">
      <c r="A814" s="1">
        <v>42128</v>
      </c>
      <c r="B814">
        <v>110</v>
      </c>
    </row>
    <row r="815" spans="1:2" x14ac:dyDescent="0.35">
      <c r="A815" s="1">
        <v>42128</v>
      </c>
      <c r="B815">
        <v>330</v>
      </c>
    </row>
    <row r="816" spans="1:2" x14ac:dyDescent="0.35">
      <c r="A816" s="1">
        <v>42130</v>
      </c>
      <c r="B816">
        <v>55</v>
      </c>
    </row>
    <row r="817" spans="1:2" x14ac:dyDescent="0.35">
      <c r="A817" s="1">
        <v>42130</v>
      </c>
      <c r="B817">
        <v>330</v>
      </c>
    </row>
    <row r="818" spans="1:2" x14ac:dyDescent="0.35">
      <c r="A818" s="1">
        <v>42135</v>
      </c>
      <c r="B818">
        <v>240</v>
      </c>
    </row>
    <row r="819" spans="1:2" x14ac:dyDescent="0.35">
      <c r="A819" s="1">
        <v>42139</v>
      </c>
      <c r="B819">
        <v>110</v>
      </c>
    </row>
    <row r="820" spans="1:2" x14ac:dyDescent="0.35">
      <c r="A820" s="1">
        <v>42139</v>
      </c>
      <c r="B820">
        <v>165</v>
      </c>
    </row>
    <row r="821" spans="1:2" x14ac:dyDescent="0.35">
      <c r="A821" s="1">
        <v>42139</v>
      </c>
      <c r="B821">
        <v>55</v>
      </c>
    </row>
    <row r="822" spans="1:2" x14ac:dyDescent="0.35">
      <c r="A822" s="1">
        <v>42139</v>
      </c>
      <c r="B822">
        <v>220</v>
      </c>
    </row>
    <row r="823" spans="1:2" x14ac:dyDescent="0.35">
      <c r="A823" s="1">
        <v>42139</v>
      </c>
      <c r="B823">
        <v>165</v>
      </c>
    </row>
    <row r="824" spans="1:2" x14ac:dyDescent="0.35">
      <c r="A824" s="1">
        <v>42139</v>
      </c>
      <c r="B824">
        <v>55</v>
      </c>
    </row>
    <row r="825" spans="1:2" x14ac:dyDescent="0.35">
      <c r="A825" s="1">
        <v>42139</v>
      </c>
      <c r="B825">
        <v>55</v>
      </c>
    </row>
    <row r="826" spans="1:2" x14ac:dyDescent="0.35">
      <c r="A826" s="1">
        <v>42139</v>
      </c>
      <c r="B826">
        <v>115</v>
      </c>
    </row>
    <row r="827" spans="1:2" x14ac:dyDescent="0.35">
      <c r="A827" s="1">
        <v>42139</v>
      </c>
      <c r="B827">
        <v>440</v>
      </c>
    </row>
    <row r="828" spans="1:2" x14ac:dyDescent="0.35">
      <c r="A828" s="1">
        <v>42143</v>
      </c>
      <c r="B828">
        <v>55</v>
      </c>
    </row>
    <row r="829" spans="1:2" x14ac:dyDescent="0.35">
      <c r="A829" s="1">
        <v>42146</v>
      </c>
      <c r="B829">
        <v>220</v>
      </c>
    </row>
    <row r="830" spans="1:2" x14ac:dyDescent="0.35">
      <c r="A830" s="1">
        <v>42146</v>
      </c>
      <c r="B830">
        <v>110</v>
      </c>
    </row>
    <row r="831" spans="1:2" x14ac:dyDescent="0.35">
      <c r="A831" s="1">
        <v>42149</v>
      </c>
      <c r="B831">
        <v>55</v>
      </c>
    </row>
    <row r="832" spans="1:2" x14ac:dyDescent="0.35">
      <c r="A832" s="1">
        <v>42151</v>
      </c>
      <c r="B832">
        <v>110</v>
      </c>
    </row>
    <row r="833" spans="1:2" x14ac:dyDescent="0.35">
      <c r="A833" s="1">
        <v>42151</v>
      </c>
      <c r="B833">
        <v>165</v>
      </c>
    </row>
    <row r="834" spans="1:2" x14ac:dyDescent="0.35">
      <c r="A834" s="1">
        <v>42151</v>
      </c>
      <c r="B834">
        <v>550</v>
      </c>
    </row>
    <row r="835" spans="1:2" x14ac:dyDescent="0.35">
      <c r="A835" s="1">
        <v>42153</v>
      </c>
      <c r="B835">
        <v>55</v>
      </c>
    </row>
    <row r="836" spans="1:2" x14ac:dyDescent="0.35">
      <c r="A836" s="1">
        <v>42157</v>
      </c>
      <c r="B836">
        <v>220</v>
      </c>
    </row>
    <row r="837" spans="1:2" x14ac:dyDescent="0.35">
      <c r="A837" s="1">
        <v>42157</v>
      </c>
      <c r="B837">
        <v>275</v>
      </c>
    </row>
    <row r="838" spans="1:2" x14ac:dyDescent="0.35">
      <c r="A838" s="1">
        <v>42157</v>
      </c>
      <c r="B838">
        <v>55</v>
      </c>
    </row>
    <row r="839" spans="1:2" x14ac:dyDescent="0.35">
      <c r="A839" s="1">
        <v>42163</v>
      </c>
      <c r="B839">
        <v>250</v>
      </c>
    </row>
    <row r="840" spans="1:2" x14ac:dyDescent="0.35">
      <c r="A840" s="1">
        <v>42163</v>
      </c>
      <c r="B840">
        <v>25</v>
      </c>
    </row>
    <row r="841" spans="1:2" x14ac:dyDescent="0.35">
      <c r="A841" s="1">
        <v>42163</v>
      </c>
      <c r="B841">
        <v>165</v>
      </c>
    </row>
    <row r="842" spans="1:2" x14ac:dyDescent="0.35">
      <c r="A842" s="1">
        <v>42163</v>
      </c>
      <c r="B842">
        <v>55</v>
      </c>
    </row>
    <row r="843" spans="1:2" x14ac:dyDescent="0.35">
      <c r="A843" s="1">
        <v>42163</v>
      </c>
      <c r="B843">
        <v>55</v>
      </c>
    </row>
    <row r="844" spans="1:2" x14ac:dyDescent="0.35">
      <c r="A844" s="1">
        <v>42163</v>
      </c>
      <c r="B844">
        <v>40</v>
      </c>
    </row>
    <row r="845" spans="1:2" x14ac:dyDescent="0.35">
      <c r="A845" s="1">
        <v>42167</v>
      </c>
      <c r="B845">
        <v>55</v>
      </c>
    </row>
    <row r="846" spans="1:2" x14ac:dyDescent="0.35">
      <c r="A846" s="1">
        <v>42167</v>
      </c>
      <c r="B846">
        <v>660</v>
      </c>
    </row>
    <row r="847" spans="1:2" x14ac:dyDescent="0.35">
      <c r="A847" s="1">
        <v>42167</v>
      </c>
      <c r="B847">
        <v>550</v>
      </c>
    </row>
    <row r="848" spans="1:2" x14ac:dyDescent="0.35">
      <c r="A848" s="1">
        <v>42167</v>
      </c>
      <c r="B848">
        <v>220</v>
      </c>
    </row>
    <row r="849" spans="1:2" x14ac:dyDescent="0.35">
      <c r="A849" s="1">
        <v>42167</v>
      </c>
      <c r="B849">
        <v>275</v>
      </c>
    </row>
    <row r="850" spans="1:2" x14ac:dyDescent="0.35">
      <c r="A850" s="1">
        <v>42173</v>
      </c>
      <c r="B850">
        <v>55</v>
      </c>
    </row>
    <row r="851" spans="1:2" x14ac:dyDescent="0.35">
      <c r="A851" s="1">
        <v>42174</v>
      </c>
      <c r="B851">
        <v>330</v>
      </c>
    </row>
    <row r="852" spans="1:2" x14ac:dyDescent="0.35">
      <c r="A852" s="1">
        <v>42180</v>
      </c>
      <c r="B852">
        <v>220</v>
      </c>
    </row>
    <row r="853" spans="1:2" x14ac:dyDescent="0.35">
      <c r="A853" s="1">
        <v>42180</v>
      </c>
      <c r="B853">
        <v>110</v>
      </c>
    </row>
    <row r="854" spans="1:2" x14ac:dyDescent="0.35">
      <c r="A854" s="1">
        <v>42180</v>
      </c>
      <c r="B854">
        <v>110</v>
      </c>
    </row>
    <row r="855" spans="1:2" x14ac:dyDescent="0.35">
      <c r="A855" s="1">
        <v>42180</v>
      </c>
      <c r="B855">
        <v>110</v>
      </c>
    </row>
    <row r="856" spans="1:2" x14ac:dyDescent="0.35">
      <c r="A856" s="1">
        <v>42180</v>
      </c>
      <c r="B856">
        <v>275</v>
      </c>
    </row>
    <row r="857" spans="1:2" x14ac:dyDescent="0.35">
      <c r="A857" s="1">
        <v>42180</v>
      </c>
      <c r="B857">
        <v>55</v>
      </c>
    </row>
    <row r="858" spans="1:2" x14ac:dyDescent="0.35">
      <c r="A858" s="1">
        <v>42180</v>
      </c>
      <c r="B858">
        <v>165</v>
      </c>
    </row>
    <row r="859" spans="1:2" x14ac:dyDescent="0.35">
      <c r="A859" s="1">
        <v>42180</v>
      </c>
      <c r="B859">
        <v>110</v>
      </c>
    </row>
    <row r="860" spans="1:2" x14ac:dyDescent="0.35">
      <c r="A860" s="1">
        <v>42184</v>
      </c>
      <c r="B860">
        <v>55</v>
      </c>
    </row>
    <row r="861" spans="1:2" x14ac:dyDescent="0.35">
      <c r="A861" s="1">
        <v>42184</v>
      </c>
      <c r="B861">
        <v>330</v>
      </c>
    </row>
    <row r="862" spans="1:2" x14ac:dyDescent="0.35">
      <c r="A862" s="1">
        <v>42187</v>
      </c>
      <c r="B862">
        <v>55</v>
      </c>
    </row>
    <row r="863" spans="1:2" x14ac:dyDescent="0.35">
      <c r="A863" s="1">
        <v>42192</v>
      </c>
      <c r="B863">
        <v>110</v>
      </c>
    </row>
    <row r="864" spans="1:2" x14ac:dyDescent="0.35">
      <c r="A864" s="1">
        <v>42192</v>
      </c>
      <c r="B864">
        <v>55</v>
      </c>
    </row>
    <row r="865" spans="1:2" x14ac:dyDescent="0.35">
      <c r="A865" s="1">
        <v>42201</v>
      </c>
      <c r="B865">
        <v>550</v>
      </c>
    </row>
    <row r="866" spans="1:2" x14ac:dyDescent="0.35">
      <c r="A866" s="1">
        <v>42201</v>
      </c>
      <c r="B866">
        <v>55</v>
      </c>
    </row>
    <row r="867" spans="1:2" x14ac:dyDescent="0.35">
      <c r="A867" s="1">
        <v>42201</v>
      </c>
      <c r="B867">
        <v>165</v>
      </c>
    </row>
    <row r="868" spans="1:2" x14ac:dyDescent="0.35">
      <c r="A868" s="1">
        <v>42201</v>
      </c>
      <c r="B868">
        <v>-20</v>
      </c>
    </row>
    <row r="869" spans="1:2" x14ac:dyDescent="0.35">
      <c r="A869" s="1">
        <v>42201</v>
      </c>
      <c r="B869">
        <v>220</v>
      </c>
    </row>
    <row r="870" spans="1:2" x14ac:dyDescent="0.35">
      <c r="A870" s="1">
        <v>42201</v>
      </c>
      <c r="B870">
        <v>220</v>
      </c>
    </row>
    <row r="871" spans="1:2" x14ac:dyDescent="0.35">
      <c r="A871" s="1">
        <v>42201</v>
      </c>
      <c r="B871">
        <v>55</v>
      </c>
    </row>
    <row r="872" spans="1:2" x14ac:dyDescent="0.35">
      <c r="A872" s="1">
        <v>42201</v>
      </c>
      <c r="B872">
        <v>55</v>
      </c>
    </row>
    <row r="873" spans="1:2" x14ac:dyDescent="0.35">
      <c r="A873" s="1">
        <v>42206</v>
      </c>
      <c r="B873">
        <v>110</v>
      </c>
    </row>
    <row r="874" spans="1:2" x14ac:dyDescent="0.35">
      <c r="A874" s="1">
        <v>42209</v>
      </c>
      <c r="B874">
        <v>110</v>
      </c>
    </row>
    <row r="875" spans="1:2" x14ac:dyDescent="0.35">
      <c r="A875" s="1">
        <v>42209</v>
      </c>
      <c r="B875">
        <v>220</v>
      </c>
    </row>
    <row r="876" spans="1:2" x14ac:dyDescent="0.35">
      <c r="A876" s="1">
        <v>42209</v>
      </c>
      <c r="B876">
        <v>55</v>
      </c>
    </row>
    <row r="877" spans="1:2" x14ac:dyDescent="0.35">
      <c r="A877" s="1">
        <v>42209</v>
      </c>
      <c r="B877">
        <v>-25</v>
      </c>
    </row>
    <row r="878" spans="1:2" x14ac:dyDescent="0.35">
      <c r="A878" s="1">
        <v>42226</v>
      </c>
      <c r="B878">
        <v>110</v>
      </c>
    </row>
    <row r="879" spans="1:2" x14ac:dyDescent="0.35">
      <c r="A879" s="1">
        <v>42230</v>
      </c>
      <c r="B879">
        <v>-50</v>
      </c>
    </row>
    <row r="880" spans="1:2" x14ac:dyDescent="0.35">
      <c r="A880" s="1">
        <v>42230</v>
      </c>
      <c r="B880">
        <v>110</v>
      </c>
    </row>
    <row r="881" spans="1:2" x14ac:dyDescent="0.35">
      <c r="A881" s="1">
        <v>42230</v>
      </c>
      <c r="B881">
        <v>385</v>
      </c>
    </row>
    <row r="882" spans="1:2" x14ac:dyDescent="0.35">
      <c r="A882" s="1">
        <v>42246</v>
      </c>
      <c r="B882">
        <v>95</v>
      </c>
    </row>
    <row r="883" spans="1:2" x14ac:dyDescent="0.35">
      <c r="A883" s="1">
        <v>42246</v>
      </c>
      <c r="B883">
        <v>110</v>
      </c>
    </row>
    <row r="884" spans="1:2" x14ac:dyDescent="0.35">
      <c r="A884" s="1">
        <v>42246</v>
      </c>
      <c r="B884">
        <v>55</v>
      </c>
    </row>
    <row r="885" spans="1:2" x14ac:dyDescent="0.35">
      <c r="A885" s="1">
        <v>42246</v>
      </c>
      <c r="B885">
        <v>55</v>
      </c>
    </row>
    <row r="886" spans="1:2" x14ac:dyDescent="0.35">
      <c r="A886" s="1">
        <v>42246</v>
      </c>
      <c r="B886">
        <v>440</v>
      </c>
    </row>
    <row r="887" spans="1:2" x14ac:dyDescent="0.35">
      <c r="A887" s="1">
        <v>42246</v>
      </c>
      <c r="B887">
        <v>55</v>
      </c>
    </row>
    <row r="888" spans="1:2" x14ac:dyDescent="0.35">
      <c r="A888" s="1">
        <v>42246</v>
      </c>
      <c r="B888">
        <v>165</v>
      </c>
    </row>
    <row r="889" spans="1:2" x14ac:dyDescent="0.35">
      <c r="A889" s="1">
        <v>42246</v>
      </c>
      <c r="B889">
        <v>55</v>
      </c>
    </row>
    <row r="890" spans="1:2" x14ac:dyDescent="0.35">
      <c r="A890" s="1">
        <v>42246</v>
      </c>
      <c r="B890">
        <v>55</v>
      </c>
    </row>
    <row r="891" spans="1:2" x14ac:dyDescent="0.35">
      <c r="A891" s="1">
        <v>42246</v>
      </c>
      <c r="B891">
        <v>275</v>
      </c>
    </row>
    <row r="892" spans="1:2" x14ac:dyDescent="0.35">
      <c r="A892" s="1">
        <v>42247</v>
      </c>
      <c r="B892">
        <v>10</v>
      </c>
    </row>
    <row r="893" spans="1:2" x14ac:dyDescent="0.35">
      <c r="A893" s="1">
        <v>42247</v>
      </c>
      <c r="B893">
        <v>330</v>
      </c>
    </row>
    <row r="894" spans="1:2" x14ac:dyDescent="0.35">
      <c r="A894" s="1">
        <v>42247</v>
      </c>
      <c r="B894">
        <v>330</v>
      </c>
    </row>
    <row r="895" spans="1:2" x14ac:dyDescent="0.35">
      <c r="A895" s="1">
        <v>42247</v>
      </c>
      <c r="B895">
        <v>55</v>
      </c>
    </row>
    <row r="896" spans="1:2" x14ac:dyDescent="0.35">
      <c r="A896" s="1">
        <v>42247</v>
      </c>
      <c r="B896">
        <v>55</v>
      </c>
    </row>
    <row r="897" spans="1:2" x14ac:dyDescent="0.35">
      <c r="A897" s="1">
        <v>42247</v>
      </c>
      <c r="B897">
        <v>-55</v>
      </c>
    </row>
    <row r="898" spans="1:2" x14ac:dyDescent="0.35">
      <c r="A898" s="1">
        <v>42250</v>
      </c>
      <c r="B898">
        <v>220</v>
      </c>
    </row>
    <row r="899" spans="1:2" x14ac:dyDescent="0.35">
      <c r="A899" s="1">
        <v>42250</v>
      </c>
      <c r="B899">
        <v>55</v>
      </c>
    </row>
    <row r="900" spans="1:2" x14ac:dyDescent="0.35">
      <c r="A900" s="1">
        <v>42250</v>
      </c>
      <c r="B900">
        <v>165</v>
      </c>
    </row>
    <row r="901" spans="1:2" x14ac:dyDescent="0.35">
      <c r="A901" s="1">
        <v>42254</v>
      </c>
      <c r="B901">
        <v>330</v>
      </c>
    </row>
    <row r="902" spans="1:2" x14ac:dyDescent="0.35">
      <c r="A902" s="1">
        <v>42264</v>
      </c>
      <c r="B902">
        <v>55</v>
      </c>
    </row>
    <row r="903" spans="1:2" x14ac:dyDescent="0.35">
      <c r="A903" s="1">
        <v>42264</v>
      </c>
      <c r="B903">
        <v>55</v>
      </c>
    </row>
    <row r="904" spans="1:2" x14ac:dyDescent="0.35">
      <c r="A904" s="1">
        <v>42264</v>
      </c>
      <c r="B904">
        <v>55</v>
      </c>
    </row>
    <row r="905" spans="1:2" x14ac:dyDescent="0.35">
      <c r="A905" s="1">
        <v>42264</v>
      </c>
      <c r="B905">
        <v>55</v>
      </c>
    </row>
    <row r="906" spans="1:2" x14ac:dyDescent="0.35">
      <c r="A906" s="1">
        <v>42264</v>
      </c>
      <c r="B906">
        <v>110</v>
      </c>
    </row>
    <row r="907" spans="1:2" x14ac:dyDescent="0.35">
      <c r="A907" s="1">
        <v>42292</v>
      </c>
      <c r="B907">
        <v>55</v>
      </c>
    </row>
    <row r="908" spans="1:2" x14ac:dyDescent="0.35">
      <c r="A908" s="1">
        <v>42296</v>
      </c>
      <c r="B908">
        <v>55</v>
      </c>
    </row>
    <row r="909" spans="1:2" x14ac:dyDescent="0.35">
      <c r="A909" s="1">
        <v>42296</v>
      </c>
      <c r="B909">
        <v>110</v>
      </c>
    </row>
    <row r="910" spans="1:2" x14ac:dyDescent="0.35">
      <c r="A910" s="1">
        <v>42296</v>
      </c>
      <c r="B910">
        <v>165</v>
      </c>
    </row>
    <row r="911" spans="1:2" x14ac:dyDescent="0.35">
      <c r="A911" s="1">
        <v>42296</v>
      </c>
      <c r="B911">
        <v>55</v>
      </c>
    </row>
    <row r="912" spans="1:2" x14ac:dyDescent="0.35">
      <c r="A912" s="1">
        <v>42296</v>
      </c>
      <c r="B912">
        <v>55</v>
      </c>
    </row>
    <row r="913" spans="1:2" x14ac:dyDescent="0.35">
      <c r="A913" s="1">
        <v>42296</v>
      </c>
      <c r="B913">
        <v>110</v>
      </c>
    </row>
    <row r="914" spans="1:2" x14ac:dyDescent="0.35">
      <c r="A914" s="1">
        <v>42296</v>
      </c>
      <c r="B914">
        <v>55</v>
      </c>
    </row>
    <row r="915" spans="1:2" x14ac:dyDescent="0.35">
      <c r="A915" s="1">
        <v>42307</v>
      </c>
      <c r="B915">
        <v>55</v>
      </c>
    </row>
    <row r="916" spans="1:2" x14ac:dyDescent="0.35">
      <c r="A916" s="1">
        <v>42326</v>
      </c>
      <c r="B916">
        <v>55</v>
      </c>
    </row>
    <row r="917" spans="1:2" x14ac:dyDescent="0.35">
      <c r="A917" s="1">
        <v>42331</v>
      </c>
      <c r="B917">
        <v>55</v>
      </c>
    </row>
    <row r="918" spans="1:2" x14ac:dyDescent="0.35">
      <c r="A918" s="1">
        <v>42331</v>
      </c>
      <c r="B918">
        <v>55</v>
      </c>
    </row>
    <row r="919" spans="1:2" x14ac:dyDescent="0.35">
      <c r="A919" s="1">
        <v>42331</v>
      </c>
      <c r="B919">
        <v>30</v>
      </c>
    </row>
    <row r="920" spans="1:2" x14ac:dyDescent="0.35">
      <c r="A920" s="1">
        <v>42331</v>
      </c>
      <c r="B920">
        <v>55</v>
      </c>
    </row>
    <row r="921" spans="1:2" x14ac:dyDescent="0.35">
      <c r="A921" s="1">
        <v>42331</v>
      </c>
      <c r="B921">
        <v>165</v>
      </c>
    </row>
    <row r="922" spans="1:2" x14ac:dyDescent="0.35">
      <c r="A922" s="1">
        <v>42331</v>
      </c>
      <c r="B922">
        <v>165</v>
      </c>
    </row>
    <row r="923" spans="1:2" x14ac:dyDescent="0.35">
      <c r="A923" s="1">
        <v>42331</v>
      </c>
      <c r="B923">
        <v>55</v>
      </c>
    </row>
    <row r="924" spans="1:2" x14ac:dyDescent="0.35">
      <c r="A924" s="1">
        <v>42331</v>
      </c>
      <c r="B924">
        <v>55</v>
      </c>
    </row>
    <row r="925" spans="1:2" x14ac:dyDescent="0.35">
      <c r="A925" s="1">
        <v>42331</v>
      </c>
      <c r="B925">
        <v>55</v>
      </c>
    </row>
    <row r="926" spans="1:2" x14ac:dyDescent="0.35">
      <c r="A926" s="1">
        <v>42331</v>
      </c>
      <c r="B926">
        <v>55</v>
      </c>
    </row>
    <row r="927" spans="1:2" x14ac:dyDescent="0.35">
      <c r="A927" s="1">
        <v>42331</v>
      </c>
      <c r="B927">
        <v>275</v>
      </c>
    </row>
    <row r="928" spans="1:2" x14ac:dyDescent="0.35">
      <c r="A928" s="1">
        <v>42331</v>
      </c>
      <c r="B928">
        <v>110</v>
      </c>
    </row>
    <row r="929" spans="1:2" x14ac:dyDescent="0.35">
      <c r="A929" s="1">
        <v>42331</v>
      </c>
      <c r="B929">
        <v>110</v>
      </c>
    </row>
    <row r="930" spans="1:2" x14ac:dyDescent="0.35">
      <c r="A930" s="1">
        <v>42331</v>
      </c>
      <c r="B930">
        <v>220</v>
      </c>
    </row>
    <row r="931" spans="1:2" x14ac:dyDescent="0.35">
      <c r="A931" s="1">
        <v>42331</v>
      </c>
      <c r="B931">
        <v>110</v>
      </c>
    </row>
    <row r="932" spans="1:2" x14ac:dyDescent="0.35">
      <c r="A932" s="1">
        <v>42331</v>
      </c>
      <c r="B932">
        <v>55</v>
      </c>
    </row>
    <row r="933" spans="1:2" x14ac:dyDescent="0.35">
      <c r="A933" s="1">
        <v>42331</v>
      </c>
      <c r="B933">
        <v>110</v>
      </c>
    </row>
    <row r="934" spans="1:2" x14ac:dyDescent="0.35">
      <c r="A934" s="1">
        <v>42331</v>
      </c>
      <c r="B934">
        <v>55</v>
      </c>
    </row>
    <row r="935" spans="1:2" x14ac:dyDescent="0.35">
      <c r="A935" s="1">
        <v>42331</v>
      </c>
      <c r="B935">
        <v>55</v>
      </c>
    </row>
    <row r="936" spans="1:2" x14ac:dyDescent="0.35">
      <c r="A936" s="1">
        <v>42331</v>
      </c>
      <c r="B936">
        <v>55</v>
      </c>
    </row>
    <row r="937" spans="1:2" x14ac:dyDescent="0.35">
      <c r="A937" s="1">
        <v>42331</v>
      </c>
      <c r="B937">
        <v>55</v>
      </c>
    </row>
    <row r="938" spans="1:2" x14ac:dyDescent="0.35">
      <c r="A938" s="1">
        <v>42331</v>
      </c>
      <c r="B938">
        <v>110</v>
      </c>
    </row>
    <row r="939" spans="1:2" x14ac:dyDescent="0.35">
      <c r="A939" s="1">
        <v>42331</v>
      </c>
      <c r="B939">
        <v>55</v>
      </c>
    </row>
    <row r="940" spans="1:2" x14ac:dyDescent="0.35">
      <c r="A940" s="1">
        <v>42331</v>
      </c>
      <c r="B940">
        <v>110</v>
      </c>
    </row>
    <row r="941" spans="1:2" x14ac:dyDescent="0.35">
      <c r="A941" s="1">
        <v>42331</v>
      </c>
      <c r="B941">
        <v>275</v>
      </c>
    </row>
    <row r="942" spans="1:2" x14ac:dyDescent="0.35">
      <c r="A942" s="1">
        <v>42331</v>
      </c>
      <c r="B942">
        <v>55</v>
      </c>
    </row>
    <row r="943" spans="1:2" x14ac:dyDescent="0.35">
      <c r="A943" s="1">
        <v>42334</v>
      </c>
      <c r="B943">
        <v>55</v>
      </c>
    </row>
    <row r="944" spans="1:2" x14ac:dyDescent="0.35">
      <c r="A944" s="1">
        <v>42338</v>
      </c>
      <c r="B944">
        <v>440</v>
      </c>
    </row>
    <row r="945" spans="1:2" x14ac:dyDescent="0.35">
      <c r="A945" s="1">
        <v>42339</v>
      </c>
      <c r="B945">
        <v>55</v>
      </c>
    </row>
    <row r="946" spans="1:2" x14ac:dyDescent="0.35">
      <c r="A946" s="1">
        <v>42340</v>
      </c>
      <c r="B946">
        <v>165</v>
      </c>
    </row>
    <row r="947" spans="1:2" x14ac:dyDescent="0.35">
      <c r="A947" s="1">
        <v>42340</v>
      </c>
      <c r="B947">
        <v>55</v>
      </c>
    </row>
    <row r="948" spans="1:2" x14ac:dyDescent="0.35">
      <c r="A948" s="1">
        <v>42346</v>
      </c>
      <c r="B948">
        <v>165</v>
      </c>
    </row>
    <row r="949" spans="1:2" x14ac:dyDescent="0.35">
      <c r="A949" s="1">
        <v>42360</v>
      </c>
      <c r="B949">
        <v>55</v>
      </c>
    </row>
    <row r="950" spans="1:2" x14ac:dyDescent="0.35">
      <c r="A950" s="1">
        <v>42360</v>
      </c>
      <c r="B950">
        <v>385</v>
      </c>
    </row>
    <row r="951" spans="1:2" x14ac:dyDescent="0.35">
      <c r="A951" s="1">
        <v>42360</v>
      </c>
      <c r="B951">
        <v>220</v>
      </c>
    </row>
    <row r="952" spans="1:2" x14ac:dyDescent="0.35">
      <c r="A952" s="1">
        <v>42360</v>
      </c>
      <c r="B952">
        <v>110</v>
      </c>
    </row>
    <row r="953" spans="1:2" x14ac:dyDescent="0.35">
      <c r="A953" s="1">
        <v>42366</v>
      </c>
      <c r="B953">
        <v>55</v>
      </c>
    </row>
    <row r="954" spans="1:2" x14ac:dyDescent="0.35">
      <c r="A954" s="1">
        <v>42366</v>
      </c>
      <c r="B954">
        <v>165</v>
      </c>
    </row>
    <row r="955" spans="1:2" x14ac:dyDescent="0.35">
      <c r="A955" s="1">
        <v>42368</v>
      </c>
      <c r="B955">
        <v>-360</v>
      </c>
    </row>
    <row r="956" spans="1:2" x14ac:dyDescent="0.35">
      <c r="A956" s="1">
        <v>42368</v>
      </c>
      <c r="B956">
        <v>190</v>
      </c>
    </row>
    <row r="957" spans="1:2" x14ac:dyDescent="0.35">
      <c r="A957" s="1">
        <v>42368</v>
      </c>
      <c r="B957">
        <v>170</v>
      </c>
    </row>
    <row r="958" spans="1:2" x14ac:dyDescent="0.35">
      <c r="A958" s="1">
        <v>42417</v>
      </c>
      <c r="B958">
        <v>165</v>
      </c>
    </row>
    <row r="959" spans="1:2" x14ac:dyDescent="0.35">
      <c r="A959" s="1">
        <v>42417</v>
      </c>
      <c r="B959">
        <v>55</v>
      </c>
    </row>
    <row r="960" spans="1:2" x14ac:dyDescent="0.35">
      <c r="A960" s="1">
        <v>42417</v>
      </c>
      <c r="B960">
        <v>220</v>
      </c>
    </row>
    <row r="961" spans="1:2" x14ac:dyDescent="0.35">
      <c r="A961" s="1">
        <v>42419</v>
      </c>
      <c r="B961">
        <v>110</v>
      </c>
    </row>
    <row r="962" spans="1:2" x14ac:dyDescent="0.35">
      <c r="A962" s="1">
        <v>42419</v>
      </c>
      <c r="B962">
        <v>110</v>
      </c>
    </row>
    <row r="963" spans="1:2" x14ac:dyDescent="0.35">
      <c r="A963" s="1">
        <v>42419</v>
      </c>
      <c r="B963">
        <v>220</v>
      </c>
    </row>
    <row r="964" spans="1:2" x14ac:dyDescent="0.35">
      <c r="A964" s="1">
        <v>42422</v>
      </c>
      <c r="B964">
        <v>55</v>
      </c>
    </row>
    <row r="965" spans="1:2" x14ac:dyDescent="0.35">
      <c r="A965" s="1">
        <v>42422</v>
      </c>
      <c r="B965">
        <v>55</v>
      </c>
    </row>
    <row r="966" spans="1:2" x14ac:dyDescent="0.35">
      <c r="A966" s="1">
        <v>42422</v>
      </c>
      <c r="B966">
        <v>55</v>
      </c>
    </row>
    <row r="967" spans="1:2" x14ac:dyDescent="0.35">
      <c r="A967" s="1">
        <v>42422</v>
      </c>
      <c r="B967">
        <v>55</v>
      </c>
    </row>
    <row r="968" spans="1:2" x14ac:dyDescent="0.35">
      <c r="A968" s="1">
        <v>42424</v>
      </c>
      <c r="B968">
        <v>550</v>
      </c>
    </row>
    <row r="969" spans="1:2" x14ac:dyDescent="0.35">
      <c r="A969" s="1">
        <v>42436</v>
      </c>
      <c r="B969">
        <v>55</v>
      </c>
    </row>
    <row r="970" spans="1:2" x14ac:dyDescent="0.35">
      <c r="A970" s="1">
        <v>42450</v>
      </c>
      <c r="B970">
        <v>220</v>
      </c>
    </row>
    <row r="971" spans="1:2" x14ac:dyDescent="0.35">
      <c r="A971" s="1">
        <v>42529</v>
      </c>
      <c r="B971">
        <v>220</v>
      </c>
    </row>
    <row r="972" spans="1:2" x14ac:dyDescent="0.35">
      <c r="A972" s="1">
        <v>42529</v>
      </c>
      <c r="B972">
        <v>165</v>
      </c>
    </row>
    <row r="973" spans="1:2" x14ac:dyDescent="0.35">
      <c r="A973" s="1">
        <v>42529</v>
      </c>
      <c r="B973">
        <v>165</v>
      </c>
    </row>
    <row r="974" spans="1:2" x14ac:dyDescent="0.35">
      <c r="A974" s="1">
        <v>42529</v>
      </c>
      <c r="B974">
        <v>55</v>
      </c>
    </row>
    <row r="975" spans="1:2" x14ac:dyDescent="0.35">
      <c r="A975" s="1">
        <v>42529</v>
      </c>
      <c r="B975">
        <v>330</v>
      </c>
    </row>
    <row r="976" spans="1:2" x14ac:dyDescent="0.35">
      <c r="A976" s="1">
        <v>42529</v>
      </c>
      <c r="B976">
        <v>55</v>
      </c>
    </row>
    <row r="977" spans="1:2" x14ac:dyDescent="0.35">
      <c r="A977" s="1">
        <v>42529</v>
      </c>
      <c r="B977">
        <v>55</v>
      </c>
    </row>
    <row r="978" spans="1:2" x14ac:dyDescent="0.35">
      <c r="A978" s="1">
        <v>42536</v>
      </c>
      <c r="B978">
        <v>110</v>
      </c>
    </row>
    <row r="979" spans="1:2" x14ac:dyDescent="0.35">
      <c r="A979" s="1">
        <v>42536</v>
      </c>
      <c r="B979">
        <v>55</v>
      </c>
    </row>
    <row r="980" spans="1:2" x14ac:dyDescent="0.35">
      <c r="A980" s="1">
        <v>42544</v>
      </c>
      <c r="B980">
        <v>55</v>
      </c>
    </row>
    <row r="981" spans="1:2" x14ac:dyDescent="0.35">
      <c r="A981" s="1">
        <v>42571</v>
      </c>
      <c r="B981">
        <v>100</v>
      </c>
    </row>
    <row r="982" spans="1:2" x14ac:dyDescent="0.35">
      <c r="A982" s="1">
        <v>42571</v>
      </c>
      <c r="B982">
        <v>55</v>
      </c>
    </row>
    <row r="983" spans="1:2" x14ac:dyDescent="0.35">
      <c r="A983" s="1">
        <v>42571</v>
      </c>
      <c r="B983">
        <v>110</v>
      </c>
    </row>
    <row r="984" spans="1:2" x14ac:dyDescent="0.35">
      <c r="A984" s="1">
        <v>42571</v>
      </c>
      <c r="B984">
        <v>110</v>
      </c>
    </row>
    <row r="985" spans="1:2" x14ac:dyDescent="0.35">
      <c r="A985" s="1">
        <v>42571</v>
      </c>
      <c r="B985">
        <v>165</v>
      </c>
    </row>
    <row r="986" spans="1:2" x14ac:dyDescent="0.35">
      <c r="A986" s="1">
        <v>42573</v>
      </c>
      <c r="B986">
        <v>55</v>
      </c>
    </row>
    <row r="987" spans="1:2" x14ac:dyDescent="0.35">
      <c r="A987" s="1">
        <v>42573</v>
      </c>
      <c r="B987">
        <v>275</v>
      </c>
    </row>
    <row r="988" spans="1:2" x14ac:dyDescent="0.35">
      <c r="A988" s="1">
        <v>42620</v>
      </c>
      <c r="B988">
        <v>110</v>
      </c>
    </row>
    <row r="989" spans="1:2" x14ac:dyDescent="0.35">
      <c r="A989" s="1">
        <v>42620</v>
      </c>
      <c r="B989">
        <v>275</v>
      </c>
    </row>
    <row r="990" spans="1:2" x14ac:dyDescent="0.35">
      <c r="A990" s="1">
        <v>42620</v>
      </c>
      <c r="B990">
        <v>110</v>
      </c>
    </row>
    <row r="991" spans="1:2" x14ac:dyDescent="0.35">
      <c r="A991" s="1">
        <v>42620</v>
      </c>
      <c r="B991">
        <v>165</v>
      </c>
    </row>
    <row r="992" spans="1:2" x14ac:dyDescent="0.35">
      <c r="A992" s="1">
        <v>42620</v>
      </c>
      <c r="B992">
        <v>110</v>
      </c>
    </row>
    <row r="993" spans="1:2" x14ac:dyDescent="0.35">
      <c r="A993" s="1">
        <v>42620</v>
      </c>
      <c r="B993">
        <v>55</v>
      </c>
    </row>
    <row r="994" spans="1:2" x14ac:dyDescent="0.35">
      <c r="A994" s="1">
        <v>42620</v>
      </c>
      <c r="B994">
        <v>55</v>
      </c>
    </row>
    <row r="995" spans="1:2" x14ac:dyDescent="0.35">
      <c r="A995" s="1">
        <v>42620</v>
      </c>
      <c r="B995">
        <v>50</v>
      </c>
    </row>
    <row r="996" spans="1:2" x14ac:dyDescent="0.35">
      <c r="A996" s="1">
        <v>42620</v>
      </c>
      <c r="B996">
        <v>55</v>
      </c>
    </row>
    <row r="997" spans="1:2" x14ac:dyDescent="0.35">
      <c r="A997" s="1">
        <v>42620</v>
      </c>
      <c r="B997">
        <v>55</v>
      </c>
    </row>
    <row r="998" spans="1:2" x14ac:dyDescent="0.35">
      <c r="A998" s="1">
        <v>42620</v>
      </c>
      <c r="B998">
        <v>275</v>
      </c>
    </row>
    <row r="999" spans="1:2" x14ac:dyDescent="0.35">
      <c r="A999" s="1">
        <v>42620</v>
      </c>
      <c r="B999">
        <v>165</v>
      </c>
    </row>
    <row r="1000" spans="1:2" x14ac:dyDescent="0.35">
      <c r="A1000" s="1">
        <v>42620</v>
      </c>
      <c r="B1000">
        <v>275</v>
      </c>
    </row>
    <row r="1001" spans="1:2" x14ac:dyDescent="0.35">
      <c r="A1001" s="1">
        <v>42620</v>
      </c>
      <c r="B1001">
        <v>110</v>
      </c>
    </row>
    <row r="1002" spans="1:2" x14ac:dyDescent="0.35">
      <c r="A1002" s="1">
        <v>42620</v>
      </c>
      <c r="B1002">
        <v>275</v>
      </c>
    </row>
    <row r="1003" spans="1:2" x14ac:dyDescent="0.35">
      <c r="A1003" s="1">
        <v>42670</v>
      </c>
      <c r="B1003">
        <v>55</v>
      </c>
    </row>
    <row r="1004" spans="1:2" x14ac:dyDescent="0.35">
      <c r="A1004" s="1">
        <v>42717</v>
      </c>
      <c r="B1004">
        <v>580</v>
      </c>
    </row>
    <row r="1005" spans="1:2" x14ac:dyDescent="0.35">
      <c r="A1005" s="1">
        <v>42717</v>
      </c>
      <c r="B1005">
        <v>55</v>
      </c>
    </row>
    <row r="1006" spans="1:2" x14ac:dyDescent="0.35">
      <c r="A1006" s="1">
        <v>42717</v>
      </c>
      <c r="B1006">
        <v>110</v>
      </c>
    </row>
    <row r="1007" spans="1:2" x14ac:dyDescent="0.35">
      <c r="A1007" s="1">
        <v>42717</v>
      </c>
      <c r="B1007">
        <v>275</v>
      </c>
    </row>
    <row r="1008" spans="1:2" x14ac:dyDescent="0.35">
      <c r="A1008" s="1">
        <v>42717</v>
      </c>
      <c r="B1008">
        <v>55</v>
      </c>
    </row>
    <row r="1009" spans="1:2" x14ac:dyDescent="0.35">
      <c r="A1009" s="1">
        <v>42717</v>
      </c>
      <c r="B1009">
        <v>110</v>
      </c>
    </row>
    <row r="1010" spans="1:2" x14ac:dyDescent="0.35">
      <c r="A1010" s="1">
        <v>42717</v>
      </c>
      <c r="B1010">
        <v>175</v>
      </c>
    </row>
    <row r="1011" spans="1:2" x14ac:dyDescent="0.35">
      <c r="A1011" s="1">
        <v>42717</v>
      </c>
      <c r="B1011">
        <v>55</v>
      </c>
    </row>
    <row r="1012" spans="1:2" x14ac:dyDescent="0.35">
      <c r="A1012" s="1">
        <v>42717</v>
      </c>
      <c r="B1012">
        <v>275</v>
      </c>
    </row>
    <row r="1013" spans="1:2" x14ac:dyDescent="0.35">
      <c r="A1013" s="1">
        <v>42717</v>
      </c>
      <c r="B1013">
        <v>55</v>
      </c>
    </row>
    <row r="1014" spans="1:2" x14ac:dyDescent="0.35">
      <c r="A1014" s="1">
        <v>42717</v>
      </c>
      <c r="B1014">
        <v>55</v>
      </c>
    </row>
    <row r="1015" spans="1:2" x14ac:dyDescent="0.35">
      <c r="A1015" s="1">
        <v>42717</v>
      </c>
      <c r="B1015">
        <v>55</v>
      </c>
    </row>
    <row r="1016" spans="1:2" x14ac:dyDescent="0.35">
      <c r="A1016" s="1">
        <v>42717</v>
      </c>
      <c r="B1016">
        <v>50</v>
      </c>
    </row>
    <row r="1017" spans="1:2" x14ac:dyDescent="0.35">
      <c r="A1017" s="1">
        <v>42740</v>
      </c>
      <c r="B1017">
        <v>275</v>
      </c>
    </row>
    <row r="1018" spans="1:2" x14ac:dyDescent="0.35">
      <c r="A1018" s="1">
        <v>42740</v>
      </c>
      <c r="B1018">
        <v>55</v>
      </c>
    </row>
    <row r="1019" spans="1:2" x14ac:dyDescent="0.35">
      <c r="A1019" s="1">
        <v>42740</v>
      </c>
      <c r="B1019">
        <v>55</v>
      </c>
    </row>
    <row r="1020" spans="1:2" x14ac:dyDescent="0.35">
      <c r="A1020" s="1">
        <v>42740</v>
      </c>
      <c r="B1020">
        <v>55</v>
      </c>
    </row>
    <row r="1021" spans="1:2" x14ac:dyDescent="0.35">
      <c r="A1021" s="1">
        <v>42740</v>
      </c>
      <c r="B1021">
        <v>165</v>
      </c>
    </row>
    <row r="1022" spans="1:2" x14ac:dyDescent="0.35">
      <c r="A1022" s="1">
        <v>42740</v>
      </c>
      <c r="B1022">
        <v>110</v>
      </c>
    </row>
    <row r="1023" spans="1:2" x14ac:dyDescent="0.35">
      <c r="A1023" s="1">
        <v>42740</v>
      </c>
      <c r="B1023">
        <v>55</v>
      </c>
    </row>
    <row r="1024" spans="1:2" x14ac:dyDescent="0.35">
      <c r="A1024" s="1">
        <v>42740</v>
      </c>
      <c r="B1024">
        <v>55</v>
      </c>
    </row>
    <row r="1025" spans="1:2" x14ac:dyDescent="0.35">
      <c r="A1025" s="1">
        <v>42740</v>
      </c>
      <c r="B1025">
        <v>55</v>
      </c>
    </row>
    <row r="1026" spans="1:2" x14ac:dyDescent="0.35">
      <c r="A1026" s="1">
        <v>42740</v>
      </c>
      <c r="B1026">
        <v>55</v>
      </c>
    </row>
    <row r="1027" spans="1:2" x14ac:dyDescent="0.35">
      <c r="A1027" s="1">
        <v>42740</v>
      </c>
      <c r="B1027">
        <v>30</v>
      </c>
    </row>
    <row r="1028" spans="1:2" x14ac:dyDescent="0.35">
      <c r="A1028" s="1">
        <v>42740</v>
      </c>
      <c r="B1028">
        <v>110</v>
      </c>
    </row>
    <row r="1029" spans="1:2" x14ac:dyDescent="0.35">
      <c r="A1029" s="1">
        <v>42740</v>
      </c>
      <c r="B1029">
        <v>220</v>
      </c>
    </row>
    <row r="1030" spans="1:2" x14ac:dyDescent="0.35">
      <c r="A1030" s="1">
        <v>42740</v>
      </c>
      <c r="B1030">
        <v>55</v>
      </c>
    </row>
    <row r="1031" spans="1:2" x14ac:dyDescent="0.35">
      <c r="A1031" s="1">
        <v>42740</v>
      </c>
      <c r="B1031">
        <v>220</v>
      </c>
    </row>
    <row r="1032" spans="1:2" x14ac:dyDescent="0.35">
      <c r="A1032" s="1">
        <v>42740</v>
      </c>
      <c r="B1032">
        <v>35</v>
      </c>
    </row>
    <row r="1033" spans="1:2" x14ac:dyDescent="0.35">
      <c r="A1033" s="1">
        <v>42740</v>
      </c>
      <c r="B1033">
        <v>165</v>
      </c>
    </row>
    <row r="1034" spans="1:2" x14ac:dyDescent="0.35">
      <c r="A1034" s="1">
        <v>42740</v>
      </c>
      <c r="B1034">
        <v>110</v>
      </c>
    </row>
    <row r="1035" spans="1:2" x14ac:dyDescent="0.35">
      <c r="A1035" s="1">
        <v>42741</v>
      </c>
      <c r="B1035">
        <v>75</v>
      </c>
    </row>
    <row r="1036" spans="1:2" x14ac:dyDescent="0.35">
      <c r="A1036" s="1">
        <v>42756</v>
      </c>
      <c r="B1036">
        <v>1815</v>
      </c>
    </row>
    <row r="1037" spans="1:2" x14ac:dyDescent="0.35">
      <c r="A1037" s="1">
        <v>42756</v>
      </c>
      <c r="B1037">
        <v>40</v>
      </c>
    </row>
    <row r="1038" spans="1:2" x14ac:dyDescent="0.35">
      <c r="A1038" s="1">
        <v>42756</v>
      </c>
      <c r="B1038">
        <v>150</v>
      </c>
    </row>
    <row r="1039" spans="1:2" x14ac:dyDescent="0.35">
      <c r="A1039" s="1">
        <v>42756</v>
      </c>
      <c r="B1039">
        <v>100</v>
      </c>
    </row>
    <row r="1040" spans="1:2" x14ac:dyDescent="0.35">
      <c r="A1040" s="1">
        <v>42756</v>
      </c>
      <c r="B1040">
        <v>300</v>
      </c>
    </row>
    <row r="1041" spans="1:2" x14ac:dyDescent="0.35">
      <c r="A1041" s="1">
        <v>42756</v>
      </c>
      <c r="B1041">
        <v>50</v>
      </c>
    </row>
    <row r="1042" spans="1:2" x14ac:dyDescent="0.35">
      <c r="A1042" s="1">
        <v>42756</v>
      </c>
      <c r="B1042">
        <v>100</v>
      </c>
    </row>
    <row r="1043" spans="1:2" x14ac:dyDescent="0.35">
      <c r="A1043" s="1">
        <v>42756</v>
      </c>
      <c r="B1043">
        <v>800</v>
      </c>
    </row>
    <row r="1044" spans="1:2" x14ac:dyDescent="0.35">
      <c r="A1044" s="1">
        <v>42756</v>
      </c>
      <c r="B1044">
        <v>100</v>
      </c>
    </row>
    <row r="1045" spans="1:2" x14ac:dyDescent="0.35">
      <c r="A1045" s="1">
        <v>42756</v>
      </c>
      <c r="B1045">
        <v>100</v>
      </c>
    </row>
    <row r="1046" spans="1:2" x14ac:dyDescent="0.35">
      <c r="A1046" s="1">
        <v>42801</v>
      </c>
      <c r="B1046">
        <v>55</v>
      </c>
    </row>
    <row r="1047" spans="1:2" x14ac:dyDescent="0.35">
      <c r="A1047" s="1">
        <v>42801</v>
      </c>
      <c r="B1047">
        <v>165</v>
      </c>
    </row>
    <row r="1048" spans="1:2" x14ac:dyDescent="0.35">
      <c r="A1048" s="1">
        <v>42801</v>
      </c>
      <c r="B1048">
        <v>220</v>
      </c>
    </row>
    <row r="1049" spans="1:2" x14ac:dyDescent="0.35">
      <c r="A1049" s="1">
        <v>42801</v>
      </c>
      <c r="B1049">
        <v>55</v>
      </c>
    </row>
    <row r="1050" spans="1:2" x14ac:dyDescent="0.35">
      <c r="A1050" s="1">
        <v>42801</v>
      </c>
      <c r="B1050">
        <v>55</v>
      </c>
    </row>
    <row r="1051" spans="1:2" x14ac:dyDescent="0.35">
      <c r="A1051" s="1">
        <v>42801</v>
      </c>
      <c r="B1051">
        <v>220</v>
      </c>
    </row>
    <row r="1052" spans="1:2" x14ac:dyDescent="0.35">
      <c r="A1052" s="1">
        <v>42801</v>
      </c>
      <c r="B1052">
        <v>55</v>
      </c>
    </row>
    <row r="1053" spans="1:2" x14ac:dyDescent="0.35">
      <c r="A1053" s="1">
        <v>42801</v>
      </c>
      <c r="B1053">
        <v>55</v>
      </c>
    </row>
    <row r="1054" spans="1:2" x14ac:dyDescent="0.35">
      <c r="A1054" s="1">
        <v>42801</v>
      </c>
      <c r="B1054">
        <v>330</v>
      </c>
    </row>
    <row r="1055" spans="1:2" x14ac:dyDescent="0.35">
      <c r="A1055" s="1">
        <v>42801</v>
      </c>
      <c r="B1055">
        <v>150</v>
      </c>
    </row>
    <row r="1056" spans="1:2" x14ac:dyDescent="0.35">
      <c r="A1056" s="1">
        <v>42830</v>
      </c>
      <c r="B1056">
        <v>55</v>
      </c>
    </row>
    <row r="1057" spans="1:2" x14ac:dyDescent="0.35">
      <c r="A1057" s="1">
        <v>42830</v>
      </c>
      <c r="B1057">
        <v>210</v>
      </c>
    </row>
    <row r="1058" spans="1:2" x14ac:dyDescent="0.35">
      <c r="A1058" s="1">
        <v>42830</v>
      </c>
      <c r="B1058">
        <v>275</v>
      </c>
    </row>
    <row r="1059" spans="1:2" x14ac:dyDescent="0.35">
      <c r="A1059" s="1">
        <v>42830</v>
      </c>
      <c r="B1059">
        <v>275</v>
      </c>
    </row>
    <row r="1060" spans="1:2" x14ac:dyDescent="0.35">
      <c r="A1060" s="1">
        <v>42830</v>
      </c>
      <c r="B1060">
        <v>165</v>
      </c>
    </row>
    <row r="1061" spans="1:2" x14ac:dyDescent="0.35">
      <c r="A1061" s="1">
        <v>42830</v>
      </c>
      <c r="B1061">
        <v>55</v>
      </c>
    </row>
    <row r="1062" spans="1:2" x14ac:dyDescent="0.35">
      <c r="A1062" s="1">
        <v>42830</v>
      </c>
      <c r="B1062">
        <v>55</v>
      </c>
    </row>
    <row r="1063" spans="1:2" x14ac:dyDescent="0.35">
      <c r="A1063" s="1">
        <v>42830</v>
      </c>
      <c r="B1063">
        <v>55</v>
      </c>
    </row>
    <row r="1064" spans="1:2" x14ac:dyDescent="0.35">
      <c r="A1064" s="1">
        <v>42830</v>
      </c>
      <c r="B1064">
        <v>110</v>
      </c>
    </row>
    <row r="1065" spans="1:2" x14ac:dyDescent="0.35">
      <c r="A1065" s="1">
        <v>42830</v>
      </c>
      <c r="B1065">
        <v>55</v>
      </c>
    </row>
    <row r="1066" spans="1:2" x14ac:dyDescent="0.35">
      <c r="A1066" s="1">
        <v>42865</v>
      </c>
      <c r="B1066">
        <v>55</v>
      </c>
    </row>
    <row r="1067" spans="1:2" x14ac:dyDescent="0.35">
      <c r="A1067" s="1">
        <v>42865</v>
      </c>
      <c r="B1067">
        <v>55</v>
      </c>
    </row>
    <row r="1068" spans="1:2" x14ac:dyDescent="0.35">
      <c r="A1068" s="1">
        <v>42865</v>
      </c>
      <c r="B1068">
        <v>220</v>
      </c>
    </row>
    <row r="1069" spans="1:2" x14ac:dyDescent="0.35">
      <c r="A1069" s="1">
        <v>42865</v>
      </c>
      <c r="B1069">
        <v>55</v>
      </c>
    </row>
    <row r="1070" spans="1:2" x14ac:dyDescent="0.35">
      <c r="A1070" s="1">
        <v>42865</v>
      </c>
      <c r="B1070">
        <v>55</v>
      </c>
    </row>
    <row r="1071" spans="1:2" x14ac:dyDescent="0.35">
      <c r="A1071" s="1">
        <v>42865</v>
      </c>
      <c r="B1071">
        <v>20</v>
      </c>
    </row>
    <row r="1072" spans="1:2" x14ac:dyDescent="0.35">
      <c r="A1072" s="1">
        <v>42865</v>
      </c>
      <c r="B1072">
        <v>110</v>
      </c>
    </row>
    <row r="1073" spans="1:2" x14ac:dyDescent="0.35">
      <c r="A1073" s="1">
        <v>42865</v>
      </c>
      <c r="B1073">
        <v>55</v>
      </c>
    </row>
    <row r="1074" spans="1:2" x14ac:dyDescent="0.35">
      <c r="A1074" s="1">
        <v>42865</v>
      </c>
      <c r="B1074">
        <v>110</v>
      </c>
    </row>
    <row r="1075" spans="1:2" x14ac:dyDescent="0.35">
      <c r="A1075" s="1">
        <v>42867</v>
      </c>
      <c r="B1075">
        <v>110</v>
      </c>
    </row>
    <row r="1076" spans="1:2" x14ac:dyDescent="0.35">
      <c r="A1076" s="1">
        <v>42867</v>
      </c>
      <c r="B1076">
        <v>55</v>
      </c>
    </row>
    <row r="1077" spans="1:2" x14ac:dyDescent="0.35">
      <c r="A1077" s="1">
        <v>42898</v>
      </c>
      <c r="B1077">
        <v>330</v>
      </c>
    </row>
    <row r="1078" spans="1:2" x14ac:dyDescent="0.35">
      <c r="A1078" s="1">
        <v>42898</v>
      </c>
      <c r="B1078">
        <v>55</v>
      </c>
    </row>
    <row r="1079" spans="1:2" x14ac:dyDescent="0.35">
      <c r="A1079" s="1">
        <v>42898</v>
      </c>
      <c r="B1079">
        <v>110</v>
      </c>
    </row>
    <row r="1080" spans="1:2" x14ac:dyDescent="0.35">
      <c r="A1080" s="1">
        <v>42898</v>
      </c>
      <c r="B1080">
        <v>220</v>
      </c>
    </row>
    <row r="1081" spans="1:2" x14ac:dyDescent="0.35">
      <c r="A1081" s="1">
        <v>42898</v>
      </c>
      <c r="B1081">
        <v>110</v>
      </c>
    </row>
    <row r="1082" spans="1:2" x14ac:dyDescent="0.35">
      <c r="A1082" s="1">
        <v>42898</v>
      </c>
      <c r="B1082">
        <v>55</v>
      </c>
    </row>
    <row r="1083" spans="1:2" x14ac:dyDescent="0.35">
      <c r="A1083" s="1">
        <v>42898</v>
      </c>
      <c r="B1083">
        <v>55</v>
      </c>
    </row>
    <row r="1084" spans="1:2" x14ac:dyDescent="0.35">
      <c r="A1084" s="1">
        <v>42898</v>
      </c>
      <c r="B1084">
        <v>55</v>
      </c>
    </row>
    <row r="1085" spans="1:2" x14ac:dyDescent="0.35">
      <c r="A1085" s="1">
        <v>42900</v>
      </c>
      <c r="B1085">
        <v>110</v>
      </c>
    </row>
    <row r="1086" spans="1:2" x14ac:dyDescent="0.35">
      <c r="A1086" s="1">
        <v>42900</v>
      </c>
      <c r="B1086">
        <v>220</v>
      </c>
    </row>
    <row r="1087" spans="1:2" x14ac:dyDescent="0.35">
      <c r="A1087" s="1">
        <v>42900</v>
      </c>
      <c r="B1087">
        <v>110</v>
      </c>
    </row>
    <row r="1088" spans="1:2" x14ac:dyDescent="0.35">
      <c r="A1088" s="1">
        <v>42900</v>
      </c>
      <c r="B1088">
        <v>220</v>
      </c>
    </row>
    <row r="1089" spans="1:2" x14ac:dyDescent="0.35">
      <c r="A1089" s="1">
        <v>42900</v>
      </c>
      <c r="B1089">
        <v>110</v>
      </c>
    </row>
    <row r="1090" spans="1:2" x14ac:dyDescent="0.35">
      <c r="A1090" s="1">
        <v>42937</v>
      </c>
      <c r="B1090">
        <v>50</v>
      </c>
    </row>
    <row r="1091" spans="1:2" x14ac:dyDescent="0.35">
      <c r="A1091" s="1">
        <v>42937</v>
      </c>
      <c r="B1091">
        <v>-55</v>
      </c>
    </row>
    <row r="1092" spans="1:2" x14ac:dyDescent="0.35">
      <c r="A1092" s="1">
        <v>42937</v>
      </c>
      <c r="B1092">
        <v>15</v>
      </c>
    </row>
    <row r="1093" spans="1:2" x14ac:dyDescent="0.35">
      <c r="A1093" s="1">
        <v>42937</v>
      </c>
      <c r="B1093">
        <v>55</v>
      </c>
    </row>
    <row r="1094" spans="1:2" x14ac:dyDescent="0.35">
      <c r="A1094" s="1">
        <v>42983</v>
      </c>
      <c r="B1094">
        <v>880</v>
      </c>
    </row>
    <row r="1095" spans="1:2" x14ac:dyDescent="0.35">
      <c r="A1095" s="1">
        <v>42983</v>
      </c>
      <c r="B1095">
        <v>55</v>
      </c>
    </row>
    <row r="1096" spans="1:2" x14ac:dyDescent="0.35">
      <c r="A1096" s="1">
        <v>42983</v>
      </c>
      <c r="B1096">
        <v>275</v>
      </c>
    </row>
    <row r="1097" spans="1:2" x14ac:dyDescent="0.35">
      <c r="A1097" s="1">
        <v>42983</v>
      </c>
      <c r="B1097">
        <v>220</v>
      </c>
    </row>
    <row r="1098" spans="1:2" x14ac:dyDescent="0.35">
      <c r="A1098" s="1">
        <v>42983</v>
      </c>
      <c r="B1098">
        <v>55</v>
      </c>
    </row>
    <row r="1099" spans="1:2" x14ac:dyDescent="0.35">
      <c r="A1099" s="1">
        <v>42983</v>
      </c>
      <c r="B1099">
        <v>55</v>
      </c>
    </row>
    <row r="1100" spans="1:2" x14ac:dyDescent="0.35">
      <c r="A1100" s="1">
        <v>42983</v>
      </c>
      <c r="B1100">
        <v>55</v>
      </c>
    </row>
    <row r="1101" spans="1:2" x14ac:dyDescent="0.35">
      <c r="A1101" s="1">
        <v>42983</v>
      </c>
      <c r="B1101">
        <v>55</v>
      </c>
    </row>
    <row r="1102" spans="1:2" x14ac:dyDescent="0.35">
      <c r="A1102" s="1">
        <v>42983</v>
      </c>
      <c r="B1102">
        <v>165</v>
      </c>
    </row>
    <row r="1103" spans="1:2" x14ac:dyDescent="0.35">
      <c r="A1103" s="1">
        <v>42983</v>
      </c>
      <c r="B1103">
        <v>55</v>
      </c>
    </row>
    <row r="1104" spans="1:2" x14ac:dyDescent="0.35">
      <c r="A1104" s="1">
        <v>42983</v>
      </c>
      <c r="B1104">
        <v>55</v>
      </c>
    </row>
    <row r="1105" spans="1:2" x14ac:dyDescent="0.35">
      <c r="A1105" s="1">
        <v>42983</v>
      </c>
      <c r="B1105">
        <v>330</v>
      </c>
    </row>
    <row r="1106" spans="1:2" x14ac:dyDescent="0.35">
      <c r="A1106" s="1">
        <v>42983</v>
      </c>
      <c r="B1106">
        <v>385</v>
      </c>
    </row>
    <row r="1107" spans="1:2" x14ac:dyDescent="0.35">
      <c r="A1107" s="1">
        <v>42983</v>
      </c>
      <c r="B1107">
        <v>55</v>
      </c>
    </row>
    <row r="1108" spans="1:2" x14ac:dyDescent="0.35">
      <c r="A1108" s="1">
        <v>42983</v>
      </c>
      <c r="B1108">
        <v>220</v>
      </c>
    </row>
    <row r="1109" spans="1:2" x14ac:dyDescent="0.35">
      <c r="A1109" s="1">
        <v>42983</v>
      </c>
      <c r="B1109">
        <v>55</v>
      </c>
    </row>
    <row r="1110" spans="1:2" x14ac:dyDescent="0.35">
      <c r="A1110" s="1">
        <v>42983</v>
      </c>
      <c r="B1110">
        <v>55</v>
      </c>
    </row>
    <row r="1111" spans="1:2" x14ac:dyDescent="0.35">
      <c r="A1111" s="1">
        <v>42983</v>
      </c>
      <c r="B1111">
        <v>55</v>
      </c>
    </row>
    <row r="1112" spans="1:2" x14ac:dyDescent="0.35">
      <c r="A1112" s="1">
        <v>42983</v>
      </c>
      <c r="B1112">
        <v>165</v>
      </c>
    </row>
    <row r="1113" spans="1:2" x14ac:dyDescent="0.35">
      <c r="A1113" s="1">
        <v>42983</v>
      </c>
      <c r="B1113">
        <v>275</v>
      </c>
    </row>
    <row r="1114" spans="1:2" x14ac:dyDescent="0.35">
      <c r="A1114" s="1">
        <v>42983</v>
      </c>
      <c r="B1114">
        <v>55</v>
      </c>
    </row>
    <row r="1115" spans="1:2" x14ac:dyDescent="0.35">
      <c r="A1115" s="1">
        <v>42983</v>
      </c>
      <c r="B1115">
        <v>55</v>
      </c>
    </row>
    <row r="1116" spans="1:2" x14ac:dyDescent="0.35">
      <c r="A1116" s="1">
        <v>42983</v>
      </c>
      <c r="B1116">
        <v>220</v>
      </c>
    </row>
    <row r="1117" spans="1:2" x14ac:dyDescent="0.35">
      <c r="A1117" s="1">
        <v>42983</v>
      </c>
      <c r="B1117">
        <v>55</v>
      </c>
    </row>
    <row r="1118" spans="1:2" x14ac:dyDescent="0.35">
      <c r="A1118" s="1">
        <v>42983</v>
      </c>
      <c r="B1118">
        <v>275</v>
      </c>
    </row>
    <row r="1119" spans="1:2" x14ac:dyDescent="0.35">
      <c r="A1119" s="1">
        <v>43041</v>
      </c>
      <c r="B1119">
        <v>55</v>
      </c>
    </row>
    <row r="1120" spans="1:2" x14ac:dyDescent="0.35">
      <c r="A1120" s="1">
        <v>43041</v>
      </c>
      <c r="B1120">
        <v>165</v>
      </c>
    </row>
    <row r="1121" spans="1:2" x14ac:dyDescent="0.35">
      <c r="A1121" s="1">
        <v>43041</v>
      </c>
      <c r="B1121">
        <v>30</v>
      </c>
    </row>
    <row r="1122" spans="1:2" x14ac:dyDescent="0.35">
      <c r="A1122" s="1">
        <v>43041</v>
      </c>
      <c r="B1122">
        <v>35</v>
      </c>
    </row>
    <row r="1123" spans="1:2" x14ac:dyDescent="0.35">
      <c r="A1123" s="1">
        <v>43041</v>
      </c>
      <c r="B1123">
        <v>55</v>
      </c>
    </row>
    <row r="1124" spans="1:2" x14ac:dyDescent="0.35">
      <c r="A1124" s="1">
        <v>43041</v>
      </c>
      <c r="B1124">
        <v>55</v>
      </c>
    </row>
    <row r="1125" spans="1:2" x14ac:dyDescent="0.35">
      <c r="A1125" s="1">
        <v>43041</v>
      </c>
      <c r="B1125">
        <v>110</v>
      </c>
    </row>
    <row r="1126" spans="1:2" x14ac:dyDescent="0.35">
      <c r="A1126" s="1">
        <v>43041</v>
      </c>
      <c r="B1126">
        <v>55</v>
      </c>
    </row>
    <row r="1127" spans="1:2" x14ac:dyDescent="0.35">
      <c r="A1127" s="1">
        <v>43041</v>
      </c>
      <c r="B1127">
        <v>165</v>
      </c>
    </row>
    <row r="1128" spans="1:2" x14ac:dyDescent="0.35">
      <c r="A1128" s="1">
        <v>43041</v>
      </c>
      <c r="B1128">
        <v>110</v>
      </c>
    </row>
    <row r="1129" spans="1:2" x14ac:dyDescent="0.35">
      <c r="A1129" s="1">
        <v>43041</v>
      </c>
      <c r="B1129">
        <v>110</v>
      </c>
    </row>
    <row r="1130" spans="1:2" x14ac:dyDescent="0.35">
      <c r="A1130" s="1">
        <v>43041</v>
      </c>
      <c r="B1130">
        <v>165</v>
      </c>
    </row>
    <row r="1131" spans="1:2" x14ac:dyDescent="0.35">
      <c r="A1131" s="1">
        <v>43041</v>
      </c>
      <c r="B1131">
        <v>220</v>
      </c>
    </row>
    <row r="1132" spans="1:2" x14ac:dyDescent="0.35">
      <c r="A1132" s="1">
        <v>43041</v>
      </c>
      <c r="B1132">
        <v>110</v>
      </c>
    </row>
    <row r="1133" spans="1:2" x14ac:dyDescent="0.35">
      <c r="A1133" s="1">
        <v>43041</v>
      </c>
      <c r="B1133">
        <v>330</v>
      </c>
    </row>
    <row r="1134" spans="1:2" x14ac:dyDescent="0.35">
      <c r="A1134" s="1">
        <v>43041</v>
      </c>
      <c r="B1134">
        <v>110</v>
      </c>
    </row>
    <row r="1135" spans="1:2" x14ac:dyDescent="0.35">
      <c r="A1135" s="1">
        <v>43041</v>
      </c>
      <c r="B1135">
        <v>220</v>
      </c>
    </row>
    <row r="1136" spans="1:2" x14ac:dyDescent="0.35">
      <c r="A1136" s="1">
        <v>43042</v>
      </c>
      <c r="B1136">
        <v>55</v>
      </c>
    </row>
    <row r="1137" spans="1:2" x14ac:dyDescent="0.35">
      <c r="A1137" s="1">
        <v>43042</v>
      </c>
      <c r="B1137">
        <v>55</v>
      </c>
    </row>
    <row r="1138" spans="1:2" x14ac:dyDescent="0.35">
      <c r="A1138" s="1">
        <v>43042</v>
      </c>
      <c r="B1138">
        <v>55</v>
      </c>
    </row>
    <row r="1139" spans="1:2" x14ac:dyDescent="0.35">
      <c r="A1139" s="1">
        <v>43042</v>
      </c>
      <c r="B1139">
        <v>55</v>
      </c>
    </row>
    <row r="1140" spans="1:2" x14ac:dyDescent="0.35">
      <c r="A1140" s="1">
        <v>43042</v>
      </c>
      <c r="B1140">
        <v>55</v>
      </c>
    </row>
    <row r="1141" spans="1:2" x14ac:dyDescent="0.35">
      <c r="A1141" s="1">
        <v>43042</v>
      </c>
      <c r="B1141">
        <v>165</v>
      </c>
    </row>
    <row r="1142" spans="1:2" x14ac:dyDescent="0.35">
      <c r="A1142" s="1">
        <v>43042</v>
      </c>
      <c r="B1142">
        <v>220</v>
      </c>
    </row>
    <row r="1143" spans="1:2" x14ac:dyDescent="0.35">
      <c r="A1143" s="1">
        <v>43042</v>
      </c>
      <c r="B1143">
        <v>110</v>
      </c>
    </row>
    <row r="1144" spans="1:2" x14ac:dyDescent="0.35">
      <c r="A1144" s="1">
        <v>43042</v>
      </c>
      <c r="B1144">
        <v>275</v>
      </c>
    </row>
    <row r="1145" spans="1:2" x14ac:dyDescent="0.35">
      <c r="A1145" s="1">
        <v>43042</v>
      </c>
      <c r="B1145">
        <v>220</v>
      </c>
    </row>
    <row r="1146" spans="1:2" x14ac:dyDescent="0.35">
      <c r="A1146" s="1">
        <v>43042</v>
      </c>
      <c r="B1146">
        <v>220</v>
      </c>
    </row>
    <row r="1147" spans="1:2" x14ac:dyDescent="0.35">
      <c r="A1147" s="1">
        <v>43042</v>
      </c>
      <c r="B1147">
        <v>55</v>
      </c>
    </row>
    <row r="1148" spans="1:2" x14ac:dyDescent="0.35">
      <c r="A1148" s="1">
        <v>43042</v>
      </c>
      <c r="B1148">
        <v>220</v>
      </c>
    </row>
    <row r="1149" spans="1:2" x14ac:dyDescent="0.35">
      <c r="A1149" s="1">
        <v>43042</v>
      </c>
      <c r="B1149">
        <v>220</v>
      </c>
    </row>
    <row r="1150" spans="1:2" x14ac:dyDescent="0.35">
      <c r="A1150" s="1">
        <v>43075</v>
      </c>
      <c r="B1150">
        <v>55</v>
      </c>
    </row>
    <row r="1151" spans="1:2" x14ac:dyDescent="0.35">
      <c r="A1151" s="1">
        <v>43075</v>
      </c>
      <c r="B1151">
        <v>440</v>
      </c>
    </row>
    <row r="1152" spans="1:2" x14ac:dyDescent="0.35">
      <c r="A1152" s="1">
        <v>43075</v>
      </c>
      <c r="B1152">
        <v>110</v>
      </c>
    </row>
    <row r="1153" spans="1:2" x14ac:dyDescent="0.35">
      <c r="A1153" s="1">
        <v>43075</v>
      </c>
      <c r="B1153">
        <v>110</v>
      </c>
    </row>
    <row r="1154" spans="1:2" x14ac:dyDescent="0.35">
      <c r="A1154" s="1">
        <v>43075</v>
      </c>
      <c r="B1154">
        <v>110</v>
      </c>
    </row>
    <row r="1155" spans="1:2" x14ac:dyDescent="0.35">
      <c r="A1155" s="1">
        <v>43075</v>
      </c>
      <c r="B1155">
        <v>55</v>
      </c>
    </row>
    <row r="1156" spans="1:2" x14ac:dyDescent="0.35">
      <c r="A1156" s="1">
        <v>43075</v>
      </c>
      <c r="B1156">
        <v>55</v>
      </c>
    </row>
    <row r="1157" spans="1:2" x14ac:dyDescent="0.35">
      <c r="A1157" s="1">
        <v>43075</v>
      </c>
      <c r="B1157">
        <v>165</v>
      </c>
    </row>
    <row r="1158" spans="1:2" x14ac:dyDescent="0.35">
      <c r="A1158" s="1">
        <v>43075</v>
      </c>
      <c r="B1158">
        <v>110</v>
      </c>
    </row>
    <row r="1159" spans="1:2" x14ac:dyDescent="0.35">
      <c r="A1159" s="1">
        <v>43075</v>
      </c>
      <c r="B1159">
        <v>55</v>
      </c>
    </row>
    <row r="1160" spans="1:2" x14ac:dyDescent="0.35">
      <c r="A1160" s="1">
        <v>43075</v>
      </c>
      <c r="B1160">
        <v>220</v>
      </c>
    </row>
    <row r="1161" spans="1:2" x14ac:dyDescent="0.35">
      <c r="A1161" s="1">
        <v>43075</v>
      </c>
      <c r="B1161">
        <v>110</v>
      </c>
    </row>
    <row r="1162" spans="1:2" x14ac:dyDescent="0.35">
      <c r="A1162" s="1">
        <v>43075</v>
      </c>
      <c r="B1162">
        <v>220</v>
      </c>
    </row>
    <row r="1163" spans="1:2" x14ac:dyDescent="0.35">
      <c r="A1163" s="1">
        <v>43075</v>
      </c>
      <c r="B1163">
        <v>220</v>
      </c>
    </row>
    <row r="1164" spans="1:2" x14ac:dyDescent="0.35">
      <c r="A1164" s="1">
        <v>43075</v>
      </c>
      <c r="B1164">
        <v>55</v>
      </c>
    </row>
    <row r="1165" spans="1:2" x14ac:dyDescent="0.35">
      <c r="A1165" s="1">
        <v>43075</v>
      </c>
      <c r="B1165">
        <v>55</v>
      </c>
    </row>
    <row r="1166" spans="1:2" x14ac:dyDescent="0.35">
      <c r="A1166" s="1">
        <v>43075</v>
      </c>
      <c r="B1166">
        <v>110</v>
      </c>
    </row>
    <row r="1167" spans="1:2" x14ac:dyDescent="0.35">
      <c r="A1167" s="1">
        <v>43075</v>
      </c>
      <c r="B1167">
        <v>110</v>
      </c>
    </row>
    <row r="1168" spans="1:2" x14ac:dyDescent="0.35">
      <c r="A1168" s="1">
        <v>43075</v>
      </c>
      <c r="B1168">
        <v>55</v>
      </c>
    </row>
    <row r="1169" spans="1:2" x14ac:dyDescent="0.35">
      <c r="A1169" s="1">
        <v>43075</v>
      </c>
      <c r="B1169">
        <v>55</v>
      </c>
    </row>
    <row r="1170" spans="1:2" x14ac:dyDescent="0.35">
      <c r="A1170" s="1">
        <v>43075</v>
      </c>
      <c r="B1170">
        <v>220</v>
      </c>
    </row>
    <row r="1171" spans="1:2" x14ac:dyDescent="0.35">
      <c r="A1171" s="1">
        <v>43075</v>
      </c>
      <c r="B1171">
        <v>110</v>
      </c>
    </row>
    <row r="1172" spans="1:2" x14ac:dyDescent="0.35">
      <c r="A1172" s="1">
        <v>43075</v>
      </c>
      <c r="B1172">
        <v>55</v>
      </c>
    </row>
    <row r="1173" spans="1:2" x14ac:dyDescent="0.35">
      <c r="A1173" s="1">
        <v>43075</v>
      </c>
      <c r="B1173">
        <v>110</v>
      </c>
    </row>
    <row r="1174" spans="1:2" x14ac:dyDescent="0.35">
      <c r="A1174" s="1">
        <v>43075</v>
      </c>
      <c r="B1174">
        <v>55</v>
      </c>
    </row>
    <row r="1175" spans="1:2" x14ac:dyDescent="0.35">
      <c r="A1175" s="1">
        <v>43075</v>
      </c>
      <c r="B1175">
        <v>165</v>
      </c>
    </row>
    <row r="1176" spans="1:2" x14ac:dyDescent="0.35">
      <c r="A1176" s="1">
        <v>43075</v>
      </c>
      <c r="B1176">
        <v>55</v>
      </c>
    </row>
    <row r="1177" spans="1:2" x14ac:dyDescent="0.35">
      <c r="A1177" s="1">
        <v>43082</v>
      </c>
      <c r="B1177">
        <v>55</v>
      </c>
    </row>
    <row r="1178" spans="1:2" x14ac:dyDescent="0.35">
      <c r="A1178" s="1">
        <v>43082</v>
      </c>
      <c r="B1178">
        <v>110</v>
      </c>
    </row>
    <row r="1179" spans="1:2" x14ac:dyDescent="0.35">
      <c r="A1179" s="1">
        <v>43082</v>
      </c>
      <c r="B1179">
        <v>55</v>
      </c>
    </row>
    <row r="1180" spans="1:2" x14ac:dyDescent="0.35">
      <c r="A1180" s="1">
        <v>43082</v>
      </c>
      <c r="B1180">
        <v>55</v>
      </c>
    </row>
    <row r="1181" spans="1:2" x14ac:dyDescent="0.35">
      <c r="A1181" s="1">
        <v>43082</v>
      </c>
      <c r="B1181">
        <v>55</v>
      </c>
    </row>
    <row r="1182" spans="1:2" x14ac:dyDescent="0.35">
      <c r="A1182" s="1">
        <v>43082</v>
      </c>
      <c r="B1182">
        <v>110</v>
      </c>
    </row>
    <row r="1183" spans="1:2" x14ac:dyDescent="0.35">
      <c r="A1183" s="1">
        <v>43082</v>
      </c>
      <c r="B1183">
        <v>55</v>
      </c>
    </row>
    <row r="1184" spans="1:2" x14ac:dyDescent="0.35">
      <c r="A1184" s="1">
        <v>43082</v>
      </c>
      <c r="B1184">
        <v>165</v>
      </c>
    </row>
    <row r="1185" spans="1:2" x14ac:dyDescent="0.35">
      <c r="A1185" s="1">
        <v>43082</v>
      </c>
      <c r="B1185">
        <v>110</v>
      </c>
    </row>
    <row r="1186" spans="1:2" x14ac:dyDescent="0.35">
      <c r="A1186" s="1">
        <v>43082</v>
      </c>
      <c r="B1186">
        <v>330</v>
      </c>
    </row>
    <row r="1187" spans="1:2" x14ac:dyDescent="0.35">
      <c r="A1187" s="1">
        <v>43082</v>
      </c>
      <c r="B1187">
        <v>220</v>
      </c>
    </row>
    <row r="1188" spans="1:2" x14ac:dyDescent="0.35">
      <c r="A1188" s="1">
        <v>43082</v>
      </c>
      <c r="B1188">
        <v>300</v>
      </c>
    </row>
    <row r="1189" spans="1:2" x14ac:dyDescent="0.35">
      <c r="A1189" s="1">
        <v>43082</v>
      </c>
      <c r="B1189">
        <v>100</v>
      </c>
    </row>
    <row r="1190" spans="1:2" x14ac:dyDescent="0.35">
      <c r="A1190" s="1">
        <v>43082</v>
      </c>
      <c r="B1190">
        <v>110</v>
      </c>
    </row>
    <row r="1191" spans="1:2" x14ac:dyDescent="0.35">
      <c r="A1191" s="1">
        <v>43082</v>
      </c>
      <c r="B1191">
        <v>10</v>
      </c>
    </row>
    <row r="1192" spans="1:2" x14ac:dyDescent="0.35">
      <c r="A1192" s="1">
        <v>43082</v>
      </c>
      <c r="B1192">
        <v>55</v>
      </c>
    </row>
    <row r="1193" spans="1:2" x14ac:dyDescent="0.35">
      <c r="A1193" s="1">
        <v>43082</v>
      </c>
      <c r="B1193">
        <v>55</v>
      </c>
    </row>
    <row r="1194" spans="1:2" x14ac:dyDescent="0.35">
      <c r="A1194" s="1">
        <v>43082</v>
      </c>
      <c r="B1194">
        <v>55</v>
      </c>
    </row>
    <row r="1195" spans="1:2" x14ac:dyDescent="0.35">
      <c r="A1195" s="1">
        <v>43082</v>
      </c>
      <c r="B1195">
        <v>110</v>
      </c>
    </row>
    <row r="1196" spans="1:2" x14ac:dyDescent="0.35">
      <c r="A1196" s="1">
        <v>43082</v>
      </c>
      <c r="B1196">
        <v>220</v>
      </c>
    </row>
    <row r="1197" spans="1:2" x14ac:dyDescent="0.35">
      <c r="A1197" s="1">
        <v>43082</v>
      </c>
      <c r="B1197">
        <v>165</v>
      </c>
    </row>
    <row r="1198" spans="1:2" x14ac:dyDescent="0.35">
      <c r="A1198" s="1">
        <v>43100</v>
      </c>
      <c r="B1198">
        <v>73</v>
      </c>
    </row>
    <row r="1199" spans="1:2" x14ac:dyDescent="0.35">
      <c r="A1199" s="1">
        <v>43249</v>
      </c>
      <c r="B1199">
        <v>110</v>
      </c>
    </row>
    <row r="1200" spans="1:2" x14ac:dyDescent="0.35">
      <c r="A1200" s="1">
        <v>43249</v>
      </c>
      <c r="B1200">
        <v>220</v>
      </c>
    </row>
    <row r="1201" spans="1:2" x14ac:dyDescent="0.35">
      <c r="A1201" s="1">
        <v>43249</v>
      </c>
      <c r="B1201">
        <v>110</v>
      </c>
    </row>
    <row r="1202" spans="1:2" x14ac:dyDescent="0.35">
      <c r="A1202" s="1">
        <v>43249</v>
      </c>
      <c r="B1202">
        <v>55</v>
      </c>
    </row>
    <row r="1203" spans="1:2" x14ac:dyDescent="0.35">
      <c r="A1203" s="1">
        <v>43249</v>
      </c>
      <c r="B1203">
        <v>110</v>
      </c>
    </row>
    <row r="1204" spans="1:2" x14ac:dyDescent="0.35">
      <c r="A1204" s="1">
        <v>43249</v>
      </c>
      <c r="B1204">
        <v>55</v>
      </c>
    </row>
    <row r="1205" spans="1:2" x14ac:dyDescent="0.35">
      <c r="A1205" s="1">
        <v>43249</v>
      </c>
      <c r="B1205">
        <v>110</v>
      </c>
    </row>
    <row r="1206" spans="1:2" x14ac:dyDescent="0.35">
      <c r="A1206" s="1">
        <v>43249</v>
      </c>
      <c r="B1206">
        <v>55</v>
      </c>
    </row>
    <row r="1207" spans="1:2" x14ac:dyDescent="0.35">
      <c r="A1207" s="1">
        <v>43249</v>
      </c>
      <c r="B1207">
        <v>55</v>
      </c>
    </row>
    <row r="1208" spans="1:2" x14ac:dyDescent="0.35">
      <c r="A1208" s="1">
        <v>43249</v>
      </c>
      <c r="B1208">
        <v>55</v>
      </c>
    </row>
    <row r="1209" spans="1:2" x14ac:dyDescent="0.35">
      <c r="A1209" s="1">
        <v>43249</v>
      </c>
      <c r="B1209">
        <v>55</v>
      </c>
    </row>
    <row r="1210" spans="1:2" x14ac:dyDescent="0.35">
      <c r="A1210" s="1">
        <v>43249</v>
      </c>
      <c r="B1210">
        <v>35</v>
      </c>
    </row>
    <row r="1211" spans="1:2" x14ac:dyDescent="0.35">
      <c r="A1211" s="1">
        <v>43249</v>
      </c>
      <c r="B1211">
        <v>55</v>
      </c>
    </row>
    <row r="1212" spans="1:2" x14ac:dyDescent="0.35">
      <c r="A1212" s="1">
        <v>43249</v>
      </c>
      <c r="B1212">
        <v>55</v>
      </c>
    </row>
    <row r="1213" spans="1:2" x14ac:dyDescent="0.35">
      <c r="A1213" s="1">
        <v>43249</v>
      </c>
      <c r="B1213">
        <v>55</v>
      </c>
    </row>
    <row r="1214" spans="1:2" x14ac:dyDescent="0.35">
      <c r="A1214" s="1">
        <v>43249</v>
      </c>
      <c r="B1214">
        <v>220</v>
      </c>
    </row>
    <row r="1215" spans="1:2" x14ac:dyDescent="0.35">
      <c r="A1215" s="1">
        <v>43249</v>
      </c>
      <c r="B1215">
        <v>110</v>
      </c>
    </row>
    <row r="1216" spans="1:2" x14ac:dyDescent="0.35">
      <c r="A1216" s="1">
        <v>43249</v>
      </c>
      <c r="B1216">
        <v>55</v>
      </c>
    </row>
    <row r="1217" spans="1:2" x14ac:dyDescent="0.35">
      <c r="A1217" s="1">
        <v>43249</v>
      </c>
      <c r="B1217">
        <v>110</v>
      </c>
    </row>
    <row r="1218" spans="1:2" x14ac:dyDescent="0.35">
      <c r="A1218" s="1">
        <v>43249</v>
      </c>
      <c r="B1218">
        <v>55</v>
      </c>
    </row>
    <row r="1219" spans="1:2" x14ac:dyDescent="0.35">
      <c r="A1219" s="1">
        <v>43249</v>
      </c>
      <c r="B1219">
        <v>55</v>
      </c>
    </row>
    <row r="1220" spans="1:2" x14ac:dyDescent="0.35">
      <c r="A1220" s="1">
        <v>43280</v>
      </c>
      <c r="B1220">
        <v>55</v>
      </c>
    </row>
    <row r="1221" spans="1:2" x14ac:dyDescent="0.35">
      <c r="A1221" s="1">
        <v>43280</v>
      </c>
      <c r="B1221">
        <v>330</v>
      </c>
    </row>
    <row r="1222" spans="1:2" x14ac:dyDescent="0.35">
      <c r="A1222" s="1">
        <v>43280</v>
      </c>
      <c r="B1222">
        <v>55</v>
      </c>
    </row>
    <row r="1223" spans="1:2" x14ac:dyDescent="0.35">
      <c r="A1223" s="1">
        <v>43280</v>
      </c>
      <c r="B1223">
        <v>110</v>
      </c>
    </row>
    <row r="1224" spans="1:2" x14ac:dyDescent="0.35">
      <c r="A1224" s="1">
        <v>43280</v>
      </c>
      <c r="B1224">
        <v>220</v>
      </c>
    </row>
    <row r="1225" spans="1:2" x14ac:dyDescent="0.35">
      <c r="A1225" s="1">
        <v>43280</v>
      </c>
      <c r="B1225">
        <v>110</v>
      </c>
    </row>
    <row r="1226" spans="1:2" x14ac:dyDescent="0.35">
      <c r="A1226" s="1">
        <v>43280</v>
      </c>
      <c r="B1226">
        <v>110</v>
      </c>
    </row>
    <row r="1227" spans="1:2" x14ac:dyDescent="0.35">
      <c r="A1227" s="1">
        <v>43280</v>
      </c>
      <c r="B1227">
        <v>330</v>
      </c>
    </row>
    <row r="1228" spans="1:2" x14ac:dyDescent="0.35">
      <c r="A1228" s="1">
        <v>43280</v>
      </c>
      <c r="B1228">
        <v>55</v>
      </c>
    </row>
    <row r="1229" spans="1:2" x14ac:dyDescent="0.35">
      <c r="A1229" s="1">
        <v>43280</v>
      </c>
      <c r="B1229">
        <v>55</v>
      </c>
    </row>
    <row r="1230" spans="1:2" x14ac:dyDescent="0.35">
      <c r="A1230" s="1">
        <v>43280</v>
      </c>
      <c r="B1230">
        <v>55</v>
      </c>
    </row>
    <row r="1231" spans="1:2" x14ac:dyDescent="0.35">
      <c r="A1231" s="1">
        <v>43280</v>
      </c>
      <c r="B1231">
        <v>55</v>
      </c>
    </row>
    <row r="1232" spans="1:2" x14ac:dyDescent="0.35">
      <c r="A1232" s="1">
        <v>43280</v>
      </c>
      <c r="B1232">
        <v>110</v>
      </c>
    </row>
    <row r="1233" spans="1:2" x14ac:dyDescent="0.35">
      <c r="A1233" s="1">
        <v>43280</v>
      </c>
      <c r="B1233">
        <v>110</v>
      </c>
    </row>
    <row r="1234" spans="1:2" x14ac:dyDescent="0.35">
      <c r="A1234" s="1">
        <v>43280</v>
      </c>
      <c r="B1234">
        <v>110</v>
      </c>
    </row>
    <row r="1235" spans="1:2" x14ac:dyDescent="0.35">
      <c r="A1235" s="1">
        <v>43280</v>
      </c>
      <c r="B1235">
        <v>55</v>
      </c>
    </row>
    <row r="1236" spans="1:2" x14ac:dyDescent="0.35">
      <c r="A1236" s="1">
        <v>43280</v>
      </c>
      <c r="B1236">
        <v>275</v>
      </c>
    </row>
    <row r="1237" spans="1:2" x14ac:dyDescent="0.35">
      <c r="A1237" s="1">
        <v>43280</v>
      </c>
      <c r="B1237">
        <v>220</v>
      </c>
    </row>
    <row r="1238" spans="1:2" x14ac:dyDescent="0.35">
      <c r="A1238" s="1">
        <v>43280</v>
      </c>
      <c r="B1238">
        <v>300</v>
      </c>
    </row>
    <row r="1239" spans="1:2" x14ac:dyDescent="0.35">
      <c r="A1239" s="1">
        <v>43280</v>
      </c>
      <c r="B1239">
        <v>165</v>
      </c>
    </row>
    <row r="1240" spans="1:2" x14ac:dyDescent="0.35">
      <c r="A1240" s="1">
        <v>43280</v>
      </c>
      <c r="B1240">
        <v>55</v>
      </c>
    </row>
    <row r="1241" spans="1:2" x14ac:dyDescent="0.35">
      <c r="A1241" s="1">
        <v>43280</v>
      </c>
      <c r="B1241">
        <v>110</v>
      </c>
    </row>
    <row r="1242" spans="1:2" x14ac:dyDescent="0.35">
      <c r="A1242" s="1">
        <v>43280</v>
      </c>
      <c r="B1242">
        <v>55</v>
      </c>
    </row>
    <row r="1243" spans="1:2" x14ac:dyDescent="0.35">
      <c r="A1243" s="1">
        <v>43280</v>
      </c>
      <c r="B1243">
        <v>55</v>
      </c>
    </row>
    <row r="1244" spans="1:2" x14ac:dyDescent="0.35">
      <c r="A1244" s="1">
        <v>43280</v>
      </c>
      <c r="B1244">
        <v>55</v>
      </c>
    </row>
    <row r="1245" spans="1:2" x14ac:dyDescent="0.35">
      <c r="A1245" s="1">
        <v>43280</v>
      </c>
      <c r="B1245">
        <v>-90</v>
      </c>
    </row>
    <row r="1246" spans="1:2" x14ac:dyDescent="0.35">
      <c r="A1246" s="1">
        <v>43280</v>
      </c>
      <c r="B1246">
        <v>55</v>
      </c>
    </row>
    <row r="1247" spans="1:2" x14ac:dyDescent="0.35">
      <c r="A1247" s="1">
        <v>43280</v>
      </c>
      <c r="B1247">
        <v>110</v>
      </c>
    </row>
    <row r="1248" spans="1:2" x14ac:dyDescent="0.35">
      <c r="A1248" s="1">
        <v>43280</v>
      </c>
      <c r="B1248">
        <v>165</v>
      </c>
    </row>
    <row r="1249" spans="1:2" x14ac:dyDescent="0.35">
      <c r="A1249" s="1">
        <v>43280</v>
      </c>
      <c r="B1249">
        <v>55</v>
      </c>
    </row>
    <row r="1250" spans="1:2" x14ac:dyDescent="0.35">
      <c r="A1250" s="1">
        <v>43280</v>
      </c>
      <c r="B1250">
        <v>55</v>
      </c>
    </row>
    <row r="1251" spans="1:2" x14ac:dyDescent="0.35">
      <c r="A1251" s="1">
        <v>43280</v>
      </c>
      <c r="B1251">
        <v>220</v>
      </c>
    </row>
    <row r="1252" spans="1:2" x14ac:dyDescent="0.35">
      <c r="A1252" s="1">
        <v>43280</v>
      </c>
      <c r="B1252">
        <v>110</v>
      </c>
    </row>
    <row r="1253" spans="1:2" x14ac:dyDescent="0.35">
      <c r="A1253" s="1">
        <v>43280</v>
      </c>
      <c r="B1253">
        <v>110</v>
      </c>
    </row>
    <row r="1254" spans="1:2" x14ac:dyDescent="0.35">
      <c r="A1254" s="1">
        <v>43280</v>
      </c>
      <c r="B1254">
        <v>55</v>
      </c>
    </row>
    <row r="1255" spans="1:2" x14ac:dyDescent="0.35">
      <c r="A1255" s="1">
        <v>43280</v>
      </c>
      <c r="B1255">
        <v>110</v>
      </c>
    </row>
    <row r="1256" spans="1:2" x14ac:dyDescent="0.35">
      <c r="A1256" s="1">
        <v>43280</v>
      </c>
      <c r="B1256">
        <v>55</v>
      </c>
    </row>
    <row r="1257" spans="1:2" x14ac:dyDescent="0.35">
      <c r="A1257" s="1">
        <v>43280</v>
      </c>
      <c r="B1257">
        <v>165</v>
      </c>
    </row>
    <row r="1258" spans="1:2" x14ac:dyDescent="0.35">
      <c r="A1258" s="1">
        <v>43280</v>
      </c>
      <c r="B1258">
        <v>1100</v>
      </c>
    </row>
    <row r="1259" spans="1:2" x14ac:dyDescent="0.35">
      <c r="A1259" s="1">
        <v>43280</v>
      </c>
      <c r="B1259">
        <v>275</v>
      </c>
    </row>
    <row r="1260" spans="1:2" x14ac:dyDescent="0.35">
      <c r="A1260" s="1">
        <v>43280</v>
      </c>
      <c r="B1260">
        <v>-55</v>
      </c>
    </row>
    <row r="1261" spans="1:2" x14ac:dyDescent="0.35">
      <c r="A1261" s="1">
        <v>43280</v>
      </c>
      <c r="B1261">
        <v>220</v>
      </c>
    </row>
    <row r="1262" spans="1:2" x14ac:dyDescent="0.35">
      <c r="A1262" s="1">
        <v>43280</v>
      </c>
      <c r="B1262">
        <v>55</v>
      </c>
    </row>
    <row r="1263" spans="1:2" x14ac:dyDescent="0.35">
      <c r="A1263" s="1">
        <v>43306</v>
      </c>
      <c r="B1263">
        <v>55</v>
      </c>
    </row>
    <row r="1264" spans="1:2" x14ac:dyDescent="0.35">
      <c r="A1264" s="1">
        <v>43388</v>
      </c>
      <c r="B1264">
        <v>-110</v>
      </c>
    </row>
    <row r="1265" spans="1:2" x14ac:dyDescent="0.35">
      <c r="A1265" s="1">
        <v>43388</v>
      </c>
      <c r="B1265">
        <v>55</v>
      </c>
    </row>
    <row r="1266" spans="1:2" x14ac:dyDescent="0.35">
      <c r="A1266" s="1">
        <v>43388</v>
      </c>
      <c r="B1266">
        <v>55</v>
      </c>
    </row>
    <row r="1267" spans="1:2" x14ac:dyDescent="0.35">
      <c r="A1267" s="1">
        <v>43388</v>
      </c>
      <c r="B1267">
        <v>55</v>
      </c>
    </row>
    <row r="1268" spans="1:2" x14ac:dyDescent="0.35">
      <c r="A1268" s="1">
        <v>43388</v>
      </c>
      <c r="B1268">
        <v>110</v>
      </c>
    </row>
    <row r="1269" spans="1:2" x14ac:dyDescent="0.35">
      <c r="A1269" s="1">
        <v>43388</v>
      </c>
      <c r="B1269">
        <v>440</v>
      </c>
    </row>
    <row r="1270" spans="1:2" x14ac:dyDescent="0.35">
      <c r="A1270" s="1">
        <v>43388</v>
      </c>
      <c r="B1270">
        <v>440</v>
      </c>
    </row>
    <row r="1271" spans="1:2" x14ac:dyDescent="0.35">
      <c r="A1271" s="1">
        <v>43388</v>
      </c>
      <c r="B1271">
        <v>110</v>
      </c>
    </row>
    <row r="1272" spans="1:2" x14ac:dyDescent="0.35">
      <c r="A1272" s="1">
        <v>43388</v>
      </c>
      <c r="B1272">
        <v>330</v>
      </c>
    </row>
    <row r="1273" spans="1:2" x14ac:dyDescent="0.35">
      <c r="A1273" s="1">
        <v>43388</v>
      </c>
      <c r="B1273">
        <v>220</v>
      </c>
    </row>
    <row r="1274" spans="1:2" x14ac:dyDescent="0.35">
      <c r="A1274" s="1">
        <v>43388</v>
      </c>
      <c r="B1274">
        <v>110</v>
      </c>
    </row>
    <row r="1275" spans="1:2" x14ac:dyDescent="0.35">
      <c r="A1275" s="1">
        <v>43388</v>
      </c>
      <c r="B1275">
        <v>220</v>
      </c>
    </row>
    <row r="1276" spans="1:2" x14ac:dyDescent="0.35">
      <c r="A1276" s="1">
        <v>43388</v>
      </c>
      <c r="B1276">
        <v>110</v>
      </c>
    </row>
    <row r="1277" spans="1:2" x14ac:dyDescent="0.35">
      <c r="A1277" s="1">
        <v>43388</v>
      </c>
      <c r="B1277">
        <v>55</v>
      </c>
    </row>
    <row r="1278" spans="1:2" x14ac:dyDescent="0.35">
      <c r="A1278" s="1">
        <v>43388</v>
      </c>
      <c r="B1278">
        <v>55</v>
      </c>
    </row>
    <row r="1279" spans="1:2" x14ac:dyDescent="0.35">
      <c r="A1279" s="1">
        <v>43388</v>
      </c>
      <c r="B1279">
        <v>275</v>
      </c>
    </row>
    <row r="1280" spans="1:2" x14ac:dyDescent="0.35">
      <c r="A1280" s="1">
        <v>43388</v>
      </c>
      <c r="B1280">
        <v>55</v>
      </c>
    </row>
    <row r="1281" spans="1:2" x14ac:dyDescent="0.35">
      <c r="A1281" s="1">
        <v>43388</v>
      </c>
      <c r="B1281">
        <v>220</v>
      </c>
    </row>
    <row r="1282" spans="1:2" x14ac:dyDescent="0.35">
      <c r="A1282" s="1">
        <v>43388</v>
      </c>
      <c r="B1282">
        <v>330</v>
      </c>
    </row>
    <row r="1283" spans="1:2" x14ac:dyDescent="0.35">
      <c r="A1283" s="1">
        <v>43388</v>
      </c>
      <c r="B1283">
        <v>165</v>
      </c>
    </row>
    <row r="1284" spans="1:2" x14ac:dyDescent="0.35">
      <c r="A1284" s="1">
        <v>43388</v>
      </c>
      <c r="B1284">
        <v>220</v>
      </c>
    </row>
    <row r="1285" spans="1:2" x14ac:dyDescent="0.35">
      <c r="A1285" s="1">
        <v>43388</v>
      </c>
      <c r="B1285">
        <v>55</v>
      </c>
    </row>
    <row r="1286" spans="1:2" x14ac:dyDescent="0.35">
      <c r="A1286" s="1">
        <v>43388</v>
      </c>
      <c r="B1286">
        <v>110</v>
      </c>
    </row>
    <row r="1287" spans="1:2" x14ac:dyDescent="0.35">
      <c r="A1287" s="1">
        <v>43388</v>
      </c>
      <c r="B1287">
        <v>55</v>
      </c>
    </row>
    <row r="1288" spans="1:2" x14ac:dyDescent="0.35">
      <c r="A1288" s="1">
        <v>43388</v>
      </c>
      <c r="B1288">
        <v>110</v>
      </c>
    </row>
    <row r="1289" spans="1:2" x14ac:dyDescent="0.35">
      <c r="A1289" s="1">
        <v>43388</v>
      </c>
      <c r="B1289">
        <v>55</v>
      </c>
    </row>
    <row r="1290" spans="1:2" x14ac:dyDescent="0.35">
      <c r="A1290" s="1">
        <v>43388</v>
      </c>
      <c r="B1290">
        <v>55</v>
      </c>
    </row>
    <row r="1291" spans="1:2" x14ac:dyDescent="0.35">
      <c r="A1291" s="1">
        <v>43388</v>
      </c>
      <c r="B1291">
        <v>110</v>
      </c>
    </row>
    <row r="1292" spans="1:2" x14ac:dyDescent="0.35">
      <c r="A1292" s="1">
        <v>43388</v>
      </c>
      <c r="B1292">
        <v>55</v>
      </c>
    </row>
    <row r="1293" spans="1:2" x14ac:dyDescent="0.35">
      <c r="A1293" s="1">
        <v>43388</v>
      </c>
      <c r="B1293">
        <v>55</v>
      </c>
    </row>
    <row r="1294" spans="1:2" x14ac:dyDescent="0.35">
      <c r="A1294" s="1">
        <v>43388</v>
      </c>
      <c r="B1294">
        <v>55</v>
      </c>
    </row>
    <row r="1295" spans="1:2" x14ac:dyDescent="0.35">
      <c r="A1295" s="1">
        <v>43388</v>
      </c>
      <c r="B1295">
        <v>110</v>
      </c>
    </row>
    <row r="1296" spans="1:2" x14ac:dyDescent="0.35">
      <c r="A1296" s="1">
        <v>43388</v>
      </c>
      <c r="B1296">
        <v>330</v>
      </c>
    </row>
    <row r="1297" spans="1:2" x14ac:dyDescent="0.35">
      <c r="A1297" s="1">
        <v>43388</v>
      </c>
      <c r="B1297">
        <v>110</v>
      </c>
    </row>
    <row r="1298" spans="1:2" x14ac:dyDescent="0.35">
      <c r="A1298" s="1">
        <v>43388</v>
      </c>
      <c r="B1298">
        <v>275</v>
      </c>
    </row>
    <row r="1299" spans="1:2" x14ac:dyDescent="0.35">
      <c r="A1299" s="1">
        <v>43440</v>
      </c>
      <c r="B1299">
        <v>55</v>
      </c>
    </row>
    <row r="1300" spans="1:2" x14ac:dyDescent="0.35">
      <c r="A1300" s="1">
        <v>43440</v>
      </c>
      <c r="B1300">
        <v>55</v>
      </c>
    </row>
    <row r="1301" spans="1:2" x14ac:dyDescent="0.35">
      <c r="A1301" s="1">
        <v>43440</v>
      </c>
      <c r="B1301">
        <v>495</v>
      </c>
    </row>
    <row r="1302" spans="1:2" x14ac:dyDescent="0.35">
      <c r="A1302" s="1">
        <v>43440</v>
      </c>
      <c r="B1302">
        <v>-55</v>
      </c>
    </row>
    <row r="1303" spans="1:2" x14ac:dyDescent="0.35">
      <c r="A1303" s="1">
        <v>43440</v>
      </c>
      <c r="B1303">
        <v>110</v>
      </c>
    </row>
    <row r="1304" spans="1:2" x14ac:dyDescent="0.35">
      <c r="A1304" s="1">
        <v>43440</v>
      </c>
      <c r="B1304">
        <v>55</v>
      </c>
    </row>
    <row r="1305" spans="1:2" x14ac:dyDescent="0.35">
      <c r="A1305" s="1">
        <v>43440</v>
      </c>
      <c r="B1305">
        <v>55</v>
      </c>
    </row>
    <row r="1306" spans="1:2" x14ac:dyDescent="0.35">
      <c r="A1306" s="1">
        <v>43440</v>
      </c>
      <c r="B1306">
        <v>55</v>
      </c>
    </row>
    <row r="1307" spans="1:2" x14ac:dyDescent="0.35">
      <c r="A1307" s="1">
        <v>43440</v>
      </c>
      <c r="B1307">
        <v>55</v>
      </c>
    </row>
    <row r="1308" spans="1:2" x14ac:dyDescent="0.35">
      <c r="A1308" s="1">
        <v>43440</v>
      </c>
      <c r="B1308">
        <v>55</v>
      </c>
    </row>
    <row r="1309" spans="1:2" x14ac:dyDescent="0.35">
      <c r="A1309" s="1">
        <v>43440</v>
      </c>
      <c r="B1309">
        <v>165</v>
      </c>
    </row>
    <row r="1310" spans="1:2" x14ac:dyDescent="0.35">
      <c r="A1310" s="1">
        <v>43452</v>
      </c>
      <c r="B1310">
        <v>440</v>
      </c>
    </row>
    <row r="1311" spans="1:2" x14ac:dyDescent="0.35">
      <c r="A1311" s="1">
        <v>43452</v>
      </c>
      <c r="B1311">
        <v>275</v>
      </c>
    </row>
    <row r="1312" spans="1:2" x14ac:dyDescent="0.35">
      <c r="A1312" s="1">
        <v>43452</v>
      </c>
      <c r="B1312">
        <v>110</v>
      </c>
    </row>
    <row r="1313" spans="1:2" x14ac:dyDescent="0.35">
      <c r="A1313" s="1">
        <v>43452</v>
      </c>
      <c r="B1313">
        <v>110</v>
      </c>
    </row>
    <row r="1314" spans="1:2" x14ac:dyDescent="0.35">
      <c r="A1314" s="1">
        <v>43452</v>
      </c>
      <c r="B1314">
        <v>330</v>
      </c>
    </row>
    <row r="1315" spans="1:2" x14ac:dyDescent="0.35">
      <c r="A1315" s="1">
        <v>43452</v>
      </c>
      <c r="B1315">
        <v>220</v>
      </c>
    </row>
    <row r="1316" spans="1:2" x14ac:dyDescent="0.35">
      <c r="A1316" s="1">
        <v>43452</v>
      </c>
      <c r="B1316">
        <v>110</v>
      </c>
    </row>
    <row r="1317" spans="1:2" x14ac:dyDescent="0.35">
      <c r="A1317" s="1">
        <v>43452</v>
      </c>
      <c r="B1317">
        <v>110</v>
      </c>
    </row>
    <row r="1318" spans="1:2" x14ac:dyDescent="0.35">
      <c r="A1318" s="1">
        <v>43452</v>
      </c>
      <c r="B1318">
        <v>110</v>
      </c>
    </row>
    <row r="1319" spans="1:2" x14ac:dyDescent="0.35">
      <c r="A1319" s="1">
        <v>43452</v>
      </c>
      <c r="B1319">
        <v>220</v>
      </c>
    </row>
    <row r="1320" spans="1:2" x14ac:dyDescent="0.35">
      <c r="A1320" s="1">
        <v>43452</v>
      </c>
      <c r="B1320">
        <v>165</v>
      </c>
    </row>
    <row r="1321" spans="1:2" x14ac:dyDescent="0.35">
      <c r="A1321" s="1">
        <v>43452</v>
      </c>
      <c r="B1321">
        <v>20</v>
      </c>
    </row>
    <row r="1322" spans="1:2" x14ac:dyDescent="0.35">
      <c r="A1322" s="1">
        <v>43452</v>
      </c>
      <c r="B1322">
        <v>210</v>
      </c>
    </row>
    <row r="1323" spans="1:2" x14ac:dyDescent="0.35">
      <c r="A1323" s="1">
        <v>43452</v>
      </c>
      <c r="B1323">
        <v>55</v>
      </c>
    </row>
    <row r="1324" spans="1:2" x14ac:dyDescent="0.35">
      <c r="A1324" s="1">
        <v>43452</v>
      </c>
      <c r="B1324">
        <v>110</v>
      </c>
    </row>
    <row r="1325" spans="1:2" x14ac:dyDescent="0.35">
      <c r="A1325" s="1">
        <v>43452</v>
      </c>
      <c r="B1325">
        <v>110</v>
      </c>
    </row>
    <row r="1326" spans="1:2" x14ac:dyDescent="0.35">
      <c r="A1326" s="1">
        <v>43452</v>
      </c>
      <c r="B1326">
        <v>55</v>
      </c>
    </row>
    <row r="1327" spans="1:2" x14ac:dyDescent="0.35">
      <c r="A1327" s="1">
        <v>43452</v>
      </c>
      <c r="B1327">
        <v>220</v>
      </c>
    </row>
    <row r="1328" spans="1:2" x14ac:dyDescent="0.35">
      <c r="A1328" s="1">
        <v>43452</v>
      </c>
      <c r="B1328">
        <v>55</v>
      </c>
    </row>
    <row r="1329" spans="1:2" x14ac:dyDescent="0.35">
      <c r="A1329" s="1">
        <v>43452</v>
      </c>
      <c r="B1329">
        <v>500</v>
      </c>
    </row>
    <row r="1330" spans="1:2" x14ac:dyDescent="0.35">
      <c r="A1330" s="1">
        <v>43452</v>
      </c>
      <c r="B1330">
        <v>1200</v>
      </c>
    </row>
    <row r="1331" spans="1:2" x14ac:dyDescent="0.35">
      <c r="A1331" s="1">
        <v>43452</v>
      </c>
      <c r="B1331">
        <v>400</v>
      </c>
    </row>
    <row r="1332" spans="1:2" x14ac:dyDescent="0.35">
      <c r="A1332" s="1">
        <v>43452</v>
      </c>
      <c r="B1332">
        <v>200</v>
      </c>
    </row>
    <row r="1333" spans="1:2" x14ac:dyDescent="0.35">
      <c r="A1333" s="1">
        <v>43452</v>
      </c>
      <c r="B1333">
        <v>200</v>
      </c>
    </row>
    <row r="1334" spans="1:2" x14ac:dyDescent="0.35">
      <c r="A1334" s="1">
        <v>43452</v>
      </c>
      <c r="B1334">
        <v>200</v>
      </c>
    </row>
    <row r="1335" spans="1:2" x14ac:dyDescent="0.35">
      <c r="A1335" s="1">
        <v>43452</v>
      </c>
      <c r="B1335">
        <v>290</v>
      </c>
    </row>
    <row r="1336" spans="1:2" x14ac:dyDescent="0.35">
      <c r="A1336" s="1">
        <v>43452</v>
      </c>
      <c r="B1336">
        <v>600</v>
      </c>
    </row>
    <row r="1337" spans="1:2" x14ac:dyDescent="0.35">
      <c r="A1337" s="1">
        <v>43452</v>
      </c>
      <c r="B1337">
        <v>200</v>
      </c>
    </row>
    <row r="1338" spans="1:2" x14ac:dyDescent="0.35">
      <c r="A1338" s="1">
        <v>43524</v>
      </c>
      <c r="B1338">
        <v>55</v>
      </c>
    </row>
    <row r="1339" spans="1:2" x14ac:dyDescent="0.35">
      <c r="A1339" s="1">
        <v>43524</v>
      </c>
      <c r="B1339">
        <v>10</v>
      </c>
    </row>
    <row r="1340" spans="1:2" x14ac:dyDescent="0.35">
      <c r="A1340" s="1">
        <v>43524</v>
      </c>
      <c r="B1340">
        <v>55</v>
      </c>
    </row>
    <row r="1341" spans="1:2" x14ac:dyDescent="0.35">
      <c r="A1341" s="1">
        <v>43553</v>
      </c>
      <c r="B1341">
        <v>55</v>
      </c>
    </row>
    <row r="1342" spans="1:2" x14ac:dyDescent="0.35">
      <c r="A1342" s="1">
        <v>43553</v>
      </c>
      <c r="B1342">
        <v>330</v>
      </c>
    </row>
    <row r="1343" spans="1:2" x14ac:dyDescent="0.35">
      <c r="A1343" s="1">
        <v>43553</v>
      </c>
      <c r="B1343">
        <v>55</v>
      </c>
    </row>
    <row r="1344" spans="1:2" x14ac:dyDescent="0.35">
      <c r="A1344" s="1">
        <v>43587</v>
      </c>
      <c r="B1344">
        <v>55</v>
      </c>
    </row>
    <row r="1345" spans="1:2" x14ac:dyDescent="0.35">
      <c r="A1345" s="1">
        <v>43587</v>
      </c>
      <c r="B1345">
        <v>220</v>
      </c>
    </row>
    <row r="1346" spans="1:2" x14ac:dyDescent="0.35">
      <c r="A1346" s="1">
        <v>43587</v>
      </c>
      <c r="B1346">
        <v>55</v>
      </c>
    </row>
    <row r="1347" spans="1:2" x14ac:dyDescent="0.35">
      <c r="A1347" s="1">
        <v>43587</v>
      </c>
      <c r="B1347">
        <v>55</v>
      </c>
    </row>
    <row r="1348" spans="1:2" x14ac:dyDescent="0.35">
      <c r="A1348" s="1">
        <v>43587</v>
      </c>
      <c r="B1348">
        <v>320</v>
      </c>
    </row>
    <row r="1349" spans="1:2" x14ac:dyDescent="0.35">
      <c r="A1349" s="1">
        <v>43587</v>
      </c>
      <c r="B1349">
        <v>55</v>
      </c>
    </row>
    <row r="1350" spans="1:2" x14ac:dyDescent="0.35">
      <c r="A1350" s="1">
        <v>43587</v>
      </c>
      <c r="B1350">
        <v>550</v>
      </c>
    </row>
    <row r="1351" spans="1:2" x14ac:dyDescent="0.35">
      <c r="A1351" s="1">
        <v>43587</v>
      </c>
      <c r="B1351">
        <v>55</v>
      </c>
    </row>
    <row r="1352" spans="1:2" x14ac:dyDescent="0.35">
      <c r="A1352" s="1">
        <v>43587</v>
      </c>
      <c r="B1352">
        <v>110</v>
      </c>
    </row>
    <row r="1353" spans="1:2" x14ac:dyDescent="0.35">
      <c r="A1353" s="1">
        <v>43650</v>
      </c>
      <c r="B1353">
        <v>253</v>
      </c>
    </row>
    <row r="1354" spans="1:2" x14ac:dyDescent="0.35">
      <c r="A1354" s="1">
        <v>43650</v>
      </c>
      <c r="B1354">
        <v>55</v>
      </c>
    </row>
    <row r="1355" spans="1:2" x14ac:dyDescent="0.35">
      <c r="A1355" s="1">
        <v>43650</v>
      </c>
      <c r="B1355">
        <v>330</v>
      </c>
    </row>
    <row r="1356" spans="1:2" x14ac:dyDescent="0.35">
      <c r="A1356" s="1">
        <v>43650</v>
      </c>
      <c r="B1356">
        <v>220</v>
      </c>
    </row>
    <row r="1357" spans="1:2" x14ac:dyDescent="0.35">
      <c r="A1357" s="1">
        <v>43650</v>
      </c>
      <c r="B1357">
        <v>440</v>
      </c>
    </row>
    <row r="1358" spans="1:2" x14ac:dyDescent="0.35">
      <c r="A1358" s="1">
        <v>43650</v>
      </c>
      <c r="B1358">
        <v>110</v>
      </c>
    </row>
    <row r="1359" spans="1:2" x14ac:dyDescent="0.35">
      <c r="A1359" s="1">
        <v>43650</v>
      </c>
      <c r="B1359">
        <v>220</v>
      </c>
    </row>
    <row r="1360" spans="1:2" x14ac:dyDescent="0.35">
      <c r="A1360" s="1">
        <v>43650</v>
      </c>
      <c r="B1360">
        <v>55</v>
      </c>
    </row>
    <row r="1361" spans="1:2" x14ac:dyDescent="0.35">
      <c r="A1361" s="1">
        <v>43650</v>
      </c>
      <c r="B1361">
        <v>220</v>
      </c>
    </row>
    <row r="1362" spans="1:2" x14ac:dyDescent="0.35">
      <c r="A1362" s="1">
        <v>43650</v>
      </c>
      <c r="B1362">
        <v>55</v>
      </c>
    </row>
    <row r="1363" spans="1:2" x14ac:dyDescent="0.35">
      <c r="A1363" s="1">
        <v>43650</v>
      </c>
      <c r="B1363">
        <v>55</v>
      </c>
    </row>
    <row r="1364" spans="1:2" x14ac:dyDescent="0.35">
      <c r="A1364" s="1">
        <v>43650</v>
      </c>
      <c r="B1364">
        <v>55</v>
      </c>
    </row>
    <row r="1365" spans="1:2" x14ac:dyDescent="0.35">
      <c r="A1365" s="1">
        <v>43650</v>
      </c>
      <c r="B1365">
        <v>110</v>
      </c>
    </row>
    <row r="1366" spans="1:2" x14ac:dyDescent="0.35">
      <c r="A1366" s="1">
        <v>43650</v>
      </c>
      <c r="B1366">
        <v>110</v>
      </c>
    </row>
    <row r="1367" spans="1:2" x14ac:dyDescent="0.35">
      <c r="A1367" s="1">
        <v>43650</v>
      </c>
      <c r="B1367">
        <v>220</v>
      </c>
    </row>
    <row r="1368" spans="1:2" x14ac:dyDescent="0.35">
      <c r="A1368" s="1">
        <v>43650</v>
      </c>
      <c r="B1368">
        <v>110</v>
      </c>
    </row>
    <row r="1369" spans="1:2" x14ac:dyDescent="0.35">
      <c r="A1369" s="1">
        <v>43650</v>
      </c>
      <c r="B1369">
        <v>275</v>
      </c>
    </row>
    <row r="1370" spans="1:2" x14ac:dyDescent="0.35">
      <c r="A1370" s="1">
        <v>43650</v>
      </c>
      <c r="B1370">
        <v>220</v>
      </c>
    </row>
    <row r="1371" spans="1:2" x14ac:dyDescent="0.35">
      <c r="A1371" s="1">
        <v>43650</v>
      </c>
      <c r="B1371">
        <v>110</v>
      </c>
    </row>
    <row r="1372" spans="1:2" x14ac:dyDescent="0.35">
      <c r="A1372" s="1">
        <v>43650</v>
      </c>
      <c r="B1372">
        <v>165</v>
      </c>
    </row>
    <row r="1373" spans="1:2" x14ac:dyDescent="0.35">
      <c r="A1373" s="1">
        <v>43686</v>
      </c>
      <c r="B1373">
        <v>55</v>
      </c>
    </row>
    <row r="1374" spans="1:2" x14ac:dyDescent="0.35">
      <c r="A1374" s="1">
        <v>43686</v>
      </c>
      <c r="B1374">
        <v>55</v>
      </c>
    </row>
    <row r="1375" spans="1:2" x14ac:dyDescent="0.35">
      <c r="A1375" s="1">
        <v>43686</v>
      </c>
      <c r="B1375">
        <v>165</v>
      </c>
    </row>
    <row r="1376" spans="1:2" x14ac:dyDescent="0.35">
      <c r="A1376" s="1">
        <v>43686</v>
      </c>
      <c r="B1376">
        <v>110</v>
      </c>
    </row>
    <row r="1377" spans="1:2" x14ac:dyDescent="0.35">
      <c r="A1377" s="1">
        <v>43686</v>
      </c>
      <c r="B1377">
        <v>110</v>
      </c>
    </row>
    <row r="1378" spans="1:2" x14ac:dyDescent="0.35">
      <c r="A1378" s="1">
        <v>43686</v>
      </c>
      <c r="B1378">
        <v>55</v>
      </c>
    </row>
    <row r="1379" spans="1:2" x14ac:dyDescent="0.35">
      <c r="A1379" s="1">
        <v>43686</v>
      </c>
      <c r="B1379">
        <v>110</v>
      </c>
    </row>
    <row r="1380" spans="1:2" x14ac:dyDescent="0.35">
      <c r="A1380" s="1">
        <v>43686</v>
      </c>
      <c r="B1380">
        <v>110</v>
      </c>
    </row>
    <row r="1381" spans="1:2" x14ac:dyDescent="0.35">
      <c r="A1381" s="1">
        <v>43686</v>
      </c>
      <c r="B1381">
        <v>55</v>
      </c>
    </row>
    <row r="1382" spans="1:2" x14ac:dyDescent="0.35">
      <c r="A1382" s="1">
        <v>43686</v>
      </c>
      <c r="B1382">
        <v>275</v>
      </c>
    </row>
    <row r="1383" spans="1:2" x14ac:dyDescent="0.35">
      <c r="A1383" s="1">
        <v>43706</v>
      </c>
      <c r="B1383">
        <v>55</v>
      </c>
    </row>
    <row r="1384" spans="1:2" x14ac:dyDescent="0.35">
      <c r="A1384" s="1">
        <v>43717</v>
      </c>
      <c r="B1384">
        <v>55</v>
      </c>
    </row>
    <row r="1385" spans="1:2" x14ac:dyDescent="0.35">
      <c r="A1385" s="1">
        <v>43717</v>
      </c>
      <c r="B1385">
        <v>55</v>
      </c>
    </row>
    <row r="1386" spans="1:2" x14ac:dyDescent="0.35">
      <c r="A1386" s="1">
        <v>43717</v>
      </c>
      <c r="B1386">
        <v>110</v>
      </c>
    </row>
    <row r="1387" spans="1:2" x14ac:dyDescent="0.35">
      <c r="A1387" s="1">
        <v>43717</v>
      </c>
      <c r="B1387">
        <v>110</v>
      </c>
    </row>
    <row r="1388" spans="1:2" x14ac:dyDescent="0.35">
      <c r="A1388" s="1">
        <v>43717</v>
      </c>
      <c r="B1388">
        <v>330</v>
      </c>
    </row>
    <row r="1389" spans="1:2" x14ac:dyDescent="0.35">
      <c r="A1389" s="1">
        <v>43717</v>
      </c>
      <c r="B1389">
        <v>55</v>
      </c>
    </row>
    <row r="1390" spans="1:2" x14ac:dyDescent="0.35">
      <c r="A1390" s="1">
        <v>43717</v>
      </c>
      <c r="B1390">
        <v>220</v>
      </c>
    </row>
    <row r="1391" spans="1:2" x14ac:dyDescent="0.35">
      <c r="A1391" s="1">
        <v>43717</v>
      </c>
      <c r="B1391">
        <v>330</v>
      </c>
    </row>
    <row r="1392" spans="1:2" x14ac:dyDescent="0.35">
      <c r="A1392" s="1">
        <v>43717</v>
      </c>
      <c r="B1392">
        <v>220</v>
      </c>
    </row>
    <row r="1393" spans="1:2" x14ac:dyDescent="0.35">
      <c r="A1393" s="1">
        <v>43769</v>
      </c>
      <c r="B1393">
        <v>110</v>
      </c>
    </row>
    <row r="1394" spans="1:2" x14ac:dyDescent="0.35">
      <c r="A1394" s="1">
        <v>43769</v>
      </c>
      <c r="B1394">
        <v>110</v>
      </c>
    </row>
    <row r="1395" spans="1:2" x14ac:dyDescent="0.35">
      <c r="A1395" s="1">
        <v>43769</v>
      </c>
      <c r="B1395">
        <v>55</v>
      </c>
    </row>
    <row r="1396" spans="1:2" x14ac:dyDescent="0.35">
      <c r="A1396" s="1">
        <v>43769</v>
      </c>
      <c r="B1396">
        <v>165</v>
      </c>
    </row>
    <row r="1397" spans="1:2" x14ac:dyDescent="0.35">
      <c r="A1397" s="1">
        <v>43784</v>
      </c>
      <c r="B1397">
        <v>110</v>
      </c>
    </row>
    <row r="1398" spans="1:2" x14ac:dyDescent="0.35">
      <c r="A1398" s="1">
        <v>43784</v>
      </c>
      <c r="B1398">
        <v>110</v>
      </c>
    </row>
    <row r="1399" spans="1:2" x14ac:dyDescent="0.35">
      <c r="A1399" s="1">
        <v>43784</v>
      </c>
      <c r="B1399">
        <v>55</v>
      </c>
    </row>
    <row r="1400" spans="1:2" x14ac:dyDescent="0.35">
      <c r="A1400" s="1">
        <v>43784</v>
      </c>
      <c r="B1400">
        <v>55</v>
      </c>
    </row>
    <row r="1401" spans="1:2" x14ac:dyDescent="0.35">
      <c r="A1401" s="1">
        <v>43784</v>
      </c>
      <c r="B1401">
        <v>55</v>
      </c>
    </row>
    <row r="1402" spans="1:2" x14ac:dyDescent="0.35">
      <c r="A1402" s="1">
        <v>43784</v>
      </c>
      <c r="B1402">
        <v>220</v>
      </c>
    </row>
    <row r="1403" spans="1:2" x14ac:dyDescent="0.35">
      <c r="A1403" s="1">
        <v>43784</v>
      </c>
      <c r="B1403">
        <v>110</v>
      </c>
    </row>
    <row r="1404" spans="1:2" x14ac:dyDescent="0.35">
      <c r="A1404" s="1">
        <v>43784</v>
      </c>
      <c r="B1404">
        <v>165</v>
      </c>
    </row>
    <row r="1405" spans="1:2" x14ac:dyDescent="0.35">
      <c r="A1405" s="1">
        <v>43784</v>
      </c>
      <c r="B1405">
        <v>220</v>
      </c>
    </row>
    <row r="1406" spans="1:2" x14ac:dyDescent="0.35">
      <c r="A1406" s="1">
        <v>43784</v>
      </c>
      <c r="B1406">
        <v>385</v>
      </c>
    </row>
    <row r="1407" spans="1:2" x14ac:dyDescent="0.35">
      <c r="A1407" s="1">
        <v>43784</v>
      </c>
      <c r="B1407">
        <v>55</v>
      </c>
    </row>
    <row r="1408" spans="1:2" x14ac:dyDescent="0.35">
      <c r="A1408" s="1">
        <v>43784</v>
      </c>
      <c r="B1408">
        <v>55</v>
      </c>
    </row>
    <row r="1409" spans="1:2" x14ac:dyDescent="0.35">
      <c r="A1409" s="1">
        <v>43784</v>
      </c>
      <c r="B1409">
        <v>55</v>
      </c>
    </row>
    <row r="1410" spans="1:2" x14ac:dyDescent="0.35">
      <c r="A1410" s="1">
        <v>43784</v>
      </c>
      <c r="B1410">
        <v>110</v>
      </c>
    </row>
    <row r="1411" spans="1:2" x14ac:dyDescent="0.35">
      <c r="A1411" s="1">
        <v>43784</v>
      </c>
      <c r="B1411">
        <v>55</v>
      </c>
    </row>
    <row r="1412" spans="1:2" x14ac:dyDescent="0.35">
      <c r="A1412" s="1">
        <v>43784</v>
      </c>
      <c r="B1412">
        <v>110</v>
      </c>
    </row>
    <row r="1413" spans="1:2" x14ac:dyDescent="0.35">
      <c r="A1413" s="1">
        <v>43784</v>
      </c>
      <c r="B1413">
        <v>110</v>
      </c>
    </row>
    <row r="1414" spans="1:2" x14ac:dyDescent="0.35">
      <c r="A1414" s="1">
        <v>43784</v>
      </c>
      <c r="B1414">
        <v>55</v>
      </c>
    </row>
    <row r="1415" spans="1:2" x14ac:dyDescent="0.35">
      <c r="A1415" s="1">
        <v>43802</v>
      </c>
      <c r="B1415">
        <v>110</v>
      </c>
    </row>
    <row r="1416" spans="1:2" x14ac:dyDescent="0.35">
      <c r="A1416" s="1">
        <v>43802</v>
      </c>
      <c r="B1416">
        <v>110</v>
      </c>
    </row>
    <row r="1417" spans="1:2" x14ac:dyDescent="0.35">
      <c r="A1417" s="1">
        <v>43802</v>
      </c>
      <c r="B1417">
        <v>110</v>
      </c>
    </row>
    <row r="1418" spans="1:2" x14ac:dyDescent="0.35">
      <c r="A1418" s="1">
        <v>43802</v>
      </c>
      <c r="B1418">
        <v>220</v>
      </c>
    </row>
    <row r="1419" spans="1:2" x14ac:dyDescent="0.35">
      <c r="A1419" s="1">
        <v>43802</v>
      </c>
      <c r="B1419">
        <v>110</v>
      </c>
    </row>
    <row r="1420" spans="1:2" x14ac:dyDescent="0.35">
      <c r="A1420" s="1">
        <v>43820</v>
      </c>
      <c r="B1420">
        <v>660</v>
      </c>
    </row>
    <row r="1421" spans="1:2" x14ac:dyDescent="0.35">
      <c r="A1421" s="1">
        <v>43820</v>
      </c>
      <c r="B1421">
        <v>110</v>
      </c>
    </row>
    <row r="1422" spans="1:2" x14ac:dyDescent="0.35">
      <c r="A1422" s="1">
        <v>43820</v>
      </c>
      <c r="B1422">
        <v>110</v>
      </c>
    </row>
    <row r="1423" spans="1:2" x14ac:dyDescent="0.35">
      <c r="A1423" s="1">
        <v>43820</v>
      </c>
      <c r="B1423">
        <v>165</v>
      </c>
    </row>
    <row r="1424" spans="1:2" x14ac:dyDescent="0.35">
      <c r="A1424" s="1">
        <v>43820</v>
      </c>
      <c r="B1424">
        <v>110</v>
      </c>
    </row>
    <row r="1425" spans="1:2" x14ac:dyDescent="0.35">
      <c r="A1425" s="1">
        <v>43820</v>
      </c>
      <c r="B1425">
        <v>55</v>
      </c>
    </row>
    <row r="1426" spans="1:2" x14ac:dyDescent="0.35">
      <c r="A1426" s="1">
        <v>43820</v>
      </c>
      <c r="B1426">
        <v>55</v>
      </c>
    </row>
    <row r="1427" spans="1:2" x14ac:dyDescent="0.35">
      <c r="A1427" s="1">
        <v>43820</v>
      </c>
      <c r="B1427">
        <v>55</v>
      </c>
    </row>
    <row r="1428" spans="1:2" x14ac:dyDescent="0.35">
      <c r="A1428" s="1">
        <v>43820</v>
      </c>
      <c r="B1428">
        <v>110</v>
      </c>
    </row>
    <row r="1429" spans="1:2" x14ac:dyDescent="0.35">
      <c r="A1429" s="1">
        <v>43820</v>
      </c>
      <c r="B1429">
        <v>55</v>
      </c>
    </row>
    <row r="1430" spans="1:2" x14ac:dyDescent="0.35">
      <c r="A1430" s="1">
        <v>43820</v>
      </c>
      <c r="B1430">
        <v>165</v>
      </c>
    </row>
    <row r="1431" spans="1:2" x14ac:dyDescent="0.35">
      <c r="A1431" s="1">
        <v>43820</v>
      </c>
      <c r="B1431">
        <v>110</v>
      </c>
    </row>
    <row r="1432" spans="1:2" x14ac:dyDescent="0.35">
      <c r="A1432" s="1">
        <v>43820</v>
      </c>
      <c r="B1432">
        <v>220</v>
      </c>
    </row>
    <row r="1433" spans="1:2" x14ac:dyDescent="0.35">
      <c r="A1433" s="1">
        <v>43820</v>
      </c>
      <c r="B1433">
        <v>67</v>
      </c>
    </row>
    <row r="1434" spans="1:2" x14ac:dyDescent="0.35">
      <c r="A1434" s="1">
        <v>43820</v>
      </c>
      <c r="B1434">
        <v>55</v>
      </c>
    </row>
    <row r="1435" spans="1:2" x14ac:dyDescent="0.35">
      <c r="A1435" s="1">
        <v>43820</v>
      </c>
      <c r="B1435">
        <v>275</v>
      </c>
    </row>
    <row r="1436" spans="1:2" x14ac:dyDescent="0.35">
      <c r="A1436" s="1">
        <v>43820</v>
      </c>
      <c r="B1436">
        <v>110</v>
      </c>
    </row>
    <row r="1437" spans="1:2" x14ac:dyDescent="0.35">
      <c r="A1437" s="1">
        <v>43820</v>
      </c>
      <c r="B1437">
        <v>220</v>
      </c>
    </row>
    <row r="1438" spans="1:2" x14ac:dyDescent="0.35">
      <c r="A1438" s="1">
        <v>43820</v>
      </c>
      <c r="B1438">
        <v>120</v>
      </c>
    </row>
    <row r="1439" spans="1:2" x14ac:dyDescent="0.35">
      <c r="A1439" s="1">
        <v>43872</v>
      </c>
      <c r="B1439">
        <v>55</v>
      </c>
    </row>
    <row r="1440" spans="1:2" x14ac:dyDescent="0.35">
      <c r="A1440" s="1">
        <v>43872</v>
      </c>
      <c r="B1440">
        <v>110</v>
      </c>
    </row>
    <row r="1441" spans="1:2" x14ac:dyDescent="0.35">
      <c r="A1441" s="1">
        <v>43872</v>
      </c>
      <c r="B1441">
        <v>110</v>
      </c>
    </row>
    <row r="1442" spans="1:2" x14ac:dyDescent="0.35">
      <c r="A1442" s="1">
        <v>43872</v>
      </c>
      <c r="B1442">
        <v>220</v>
      </c>
    </row>
    <row r="1443" spans="1:2" x14ac:dyDescent="0.35">
      <c r="A1443" s="1">
        <v>43872</v>
      </c>
      <c r="B1443">
        <v>55</v>
      </c>
    </row>
    <row r="1444" spans="1:2" x14ac:dyDescent="0.35">
      <c r="A1444" s="1">
        <v>43872</v>
      </c>
      <c r="B1444">
        <v>55</v>
      </c>
    </row>
    <row r="1445" spans="1:2" x14ac:dyDescent="0.35">
      <c r="A1445" s="1">
        <v>43872</v>
      </c>
      <c r="B1445">
        <v>55</v>
      </c>
    </row>
    <row r="1446" spans="1:2" x14ac:dyDescent="0.35">
      <c r="A1446" s="1">
        <v>43901</v>
      </c>
      <c r="B1446">
        <v>110</v>
      </c>
    </row>
    <row r="1447" spans="1:2" x14ac:dyDescent="0.35">
      <c r="A1447" s="1">
        <v>43901</v>
      </c>
      <c r="B1447">
        <v>330</v>
      </c>
    </row>
    <row r="1448" spans="1:2" x14ac:dyDescent="0.35">
      <c r="A1448" s="1">
        <v>43901</v>
      </c>
      <c r="B1448">
        <v>110</v>
      </c>
    </row>
    <row r="1449" spans="1:2" x14ac:dyDescent="0.35">
      <c r="A1449" s="1">
        <v>43901</v>
      </c>
      <c r="B1449">
        <v>165</v>
      </c>
    </row>
    <row r="1450" spans="1:2" x14ac:dyDescent="0.35">
      <c r="A1450" s="1">
        <v>43901</v>
      </c>
      <c r="B1450">
        <v>330</v>
      </c>
    </row>
    <row r="1451" spans="1:2" x14ac:dyDescent="0.35">
      <c r="A1451" s="1">
        <v>43901</v>
      </c>
      <c r="B1451">
        <v>110</v>
      </c>
    </row>
    <row r="1452" spans="1:2" x14ac:dyDescent="0.35">
      <c r="A1452" s="1">
        <v>43901</v>
      </c>
      <c r="B1452">
        <v>385</v>
      </c>
    </row>
    <row r="1453" spans="1:2" x14ac:dyDescent="0.35">
      <c r="A1453" s="1">
        <v>43901</v>
      </c>
      <c r="B1453">
        <v>220</v>
      </c>
    </row>
    <row r="1454" spans="1:2" x14ac:dyDescent="0.35">
      <c r="A1454" s="1">
        <v>43901</v>
      </c>
      <c r="B1454">
        <v>220</v>
      </c>
    </row>
    <row r="1455" spans="1:2" x14ac:dyDescent="0.35">
      <c r="A1455" s="1">
        <v>43901</v>
      </c>
      <c r="B1455">
        <v>55</v>
      </c>
    </row>
    <row r="1456" spans="1:2" x14ac:dyDescent="0.35">
      <c r="A1456" s="1">
        <v>43921</v>
      </c>
      <c r="B1456">
        <v>220</v>
      </c>
    </row>
    <row r="1457" spans="1:2" x14ac:dyDescent="0.35">
      <c r="A1457" s="1">
        <v>43921</v>
      </c>
      <c r="B1457">
        <v>165</v>
      </c>
    </row>
    <row r="1458" spans="1:2" x14ac:dyDescent="0.35">
      <c r="A1458" s="1">
        <v>43921</v>
      </c>
      <c r="B1458">
        <v>220</v>
      </c>
    </row>
    <row r="1459" spans="1:2" x14ac:dyDescent="0.35">
      <c r="A1459" s="1">
        <v>43921</v>
      </c>
      <c r="B1459">
        <v>165</v>
      </c>
    </row>
    <row r="1460" spans="1:2" x14ac:dyDescent="0.35">
      <c r="A1460" s="1">
        <v>43928</v>
      </c>
      <c r="B1460">
        <v>55</v>
      </c>
    </row>
    <row r="1461" spans="1:2" x14ac:dyDescent="0.35">
      <c r="A1461" s="1">
        <v>43928</v>
      </c>
      <c r="B1461">
        <v>330</v>
      </c>
    </row>
    <row r="1462" spans="1:2" x14ac:dyDescent="0.35">
      <c r="A1462" s="1">
        <v>43928</v>
      </c>
      <c r="B1462">
        <v>55</v>
      </c>
    </row>
    <row r="1463" spans="1:2" x14ac:dyDescent="0.35">
      <c r="A1463" s="1">
        <v>43928</v>
      </c>
      <c r="B1463">
        <v>55</v>
      </c>
    </row>
    <row r="1464" spans="1:2" x14ac:dyDescent="0.35">
      <c r="A1464" s="1">
        <v>43937</v>
      </c>
      <c r="B1464">
        <v>110</v>
      </c>
    </row>
    <row r="1465" spans="1:2" x14ac:dyDescent="0.35">
      <c r="A1465" s="1">
        <v>43937</v>
      </c>
      <c r="B1465">
        <v>110</v>
      </c>
    </row>
    <row r="1466" spans="1:2" x14ac:dyDescent="0.35">
      <c r="A1466" s="1">
        <v>43943</v>
      </c>
      <c r="B1466">
        <v>55</v>
      </c>
    </row>
    <row r="1467" spans="1:2" x14ac:dyDescent="0.35">
      <c r="A1467" s="1">
        <v>43950</v>
      </c>
      <c r="B1467">
        <v>220</v>
      </c>
    </row>
    <row r="1468" spans="1:2" x14ac:dyDescent="0.35">
      <c r="A1468" s="1">
        <v>43951</v>
      </c>
      <c r="B1468">
        <v>55</v>
      </c>
    </row>
    <row r="1469" spans="1:2" x14ac:dyDescent="0.35">
      <c r="A1469" s="1">
        <v>43951</v>
      </c>
      <c r="B1469">
        <v>110</v>
      </c>
    </row>
    <row r="1470" spans="1:2" x14ac:dyDescent="0.35">
      <c r="A1470" s="1">
        <v>43957</v>
      </c>
      <c r="B1470">
        <v>220</v>
      </c>
    </row>
    <row r="1471" spans="1:2" x14ac:dyDescent="0.35">
      <c r="A1471" s="1">
        <v>43957</v>
      </c>
      <c r="B1471">
        <v>275</v>
      </c>
    </row>
    <row r="1472" spans="1:2" x14ac:dyDescent="0.35">
      <c r="A1472" s="1">
        <v>43966</v>
      </c>
      <c r="B1472">
        <v>110</v>
      </c>
    </row>
    <row r="1473" spans="1:2" x14ac:dyDescent="0.35">
      <c r="A1473" s="1">
        <v>43976</v>
      </c>
      <c r="B1473">
        <v>30</v>
      </c>
    </row>
    <row r="1474" spans="1:2" x14ac:dyDescent="0.35">
      <c r="A1474" s="1">
        <v>43976</v>
      </c>
      <c r="B1474">
        <v>220</v>
      </c>
    </row>
    <row r="1475" spans="1:2" x14ac:dyDescent="0.35">
      <c r="A1475" s="1">
        <v>43984</v>
      </c>
      <c r="B1475">
        <v>330</v>
      </c>
    </row>
    <row r="1476" spans="1:2" x14ac:dyDescent="0.35">
      <c r="A1476" s="1">
        <v>43984</v>
      </c>
      <c r="B1476">
        <v>55</v>
      </c>
    </row>
    <row r="1477" spans="1:2" x14ac:dyDescent="0.35">
      <c r="A1477" s="1">
        <v>44000</v>
      </c>
      <c r="B1477">
        <v>55</v>
      </c>
    </row>
    <row r="1478" spans="1:2" x14ac:dyDescent="0.35">
      <c r="A1478" s="1">
        <v>44000</v>
      </c>
      <c r="B1478">
        <v>110</v>
      </c>
    </row>
    <row r="1479" spans="1:2" x14ac:dyDescent="0.35">
      <c r="A1479" s="1">
        <v>44000</v>
      </c>
      <c r="B1479">
        <v>1155</v>
      </c>
    </row>
    <row r="1480" spans="1:2" x14ac:dyDescent="0.35">
      <c r="A1480" s="1">
        <v>44000</v>
      </c>
      <c r="B1480">
        <v>55</v>
      </c>
    </row>
    <row r="1481" spans="1:2" x14ac:dyDescent="0.35">
      <c r="A1481" s="1">
        <v>44006</v>
      </c>
      <c r="B1481">
        <v>110</v>
      </c>
    </row>
    <row r="1482" spans="1:2" x14ac:dyDescent="0.35">
      <c r="A1482" s="1">
        <v>44006</v>
      </c>
      <c r="B1482">
        <v>0</v>
      </c>
    </row>
    <row r="1483" spans="1:2" x14ac:dyDescent="0.35">
      <c r="A1483" s="1">
        <v>44006</v>
      </c>
      <c r="B1483">
        <v>165</v>
      </c>
    </row>
    <row r="1484" spans="1:2" x14ac:dyDescent="0.35">
      <c r="A1484" s="1">
        <v>44006</v>
      </c>
      <c r="B1484">
        <v>110</v>
      </c>
    </row>
    <row r="1485" spans="1:2" x14ac:dyDescent="0.35">
      <c r="A1485" s="1">
        <v>44007</v>
      </c>
      <c r="B1485">
        <v>55</v>
      </c>
    </row>
    <row r="1486" spans="1:2" x14ac:dyDescent="0.35">
      <c r="A1486" s="1">
        <v>44011</v>
      </c>
      <c r="B1486">
        <v>110</v>
      </c>
    </row>
    <row r="1487" spans="1:2" x14ac:dyDescent="0.35">
      <c r="A1487" s="1">
        <v>44011</v>
      </c>
      <c r="B1487">
        <v>55</v>
      </c>
    </row>
    <row r="1488" spans="1:2" x14ac:dyDescent="0.35">
      <c r="A1488" s="1">
        <v>44011</v>
      </c>
      <c r="B1488">
        <v>30</v>
      </c>
    </row>
    <row r="1489" spans="1:2" x14ac:dyDescent="0.35">
      <c r="A1489" s="1">
        <v>44012</v>
      </c>
      <c r="B1489">
        <v>55</v>
      </c>
    </row>
    <row r="1490" spans="1:2" x14ac:dyDescent="0.35">
      <c r="A1490" s="1">
        <v>44020</v>
      </c>
      <c r="B1490">
        <v>55</v>
      </c>
    </row>
    <row r="1491" spans="1:2" x14ac:dyDescent="0.35">
      <c r="A1491" s="1">
        <v>44020</v>
      </c>
      <c r="B1491">
        <v>110</v>
      </c>
    </row>
    <row r="1492" spans="1:2" x14ac:dyDescent="0.35">
      <c r="A1492" s="1">
        <v>44020</v>
      </c>
      <c r="B1492">
        <v>55</v>
      </c>
    </row>
    <row r="1493" spans="1:2" x14ac:dyDescent="0.35">
      <c r="A1493" s="1">
        <v>44021</v>
      </c>
      <c r="B1493">
        <v>55</v>
      </c>
    </row>
    <row r="1494" spans="1:2" x14ac:dyDescent="0.35">
      <c r="A1494" s="1">
        <v>44025</v>
      </c>
      <c r="B1494">
        <v>110</v>
      </c>
    </row>
    <row r="1495" spans="1:2" x14ac:dyDescent="0.35">
      <c r="A1495" s="1">
        <v>44025</v>
      </c>
      <c r="B1495">
        <v>110</v>
      </c>
    </row>
    <row r="1496" spans="1:2" x14ac:dyDescent="0.35">
      <c r="A1496" s="1">
        <v>44025</v>
      </c>
      <c r="B1496">
        <v>110</v>
      </c>
    </row>
    <row r="1497" spans="1:2" x14ac:dyDescent="0.35">
      <c r="A1497" s="1">
        <v>44025</v>
      </c>
      <c r="B1497">
        <v>-30</v>
      </c>
    </row>
    <row r="1498" spans="1:2" x14ac:dyDescent="0.35">
      <c r="A1498" s="1">
        <v>44034</v>
      </c>
      <c r="B1498">
        <v>165</v>
      </c>
    </row>
    <row r="1499" spans="1:2" x14ac:dyDescent="0.35">
      <c r="A1499" s="1">
        <v>44034</v>
      </c>
      <c r="B1499">
        <v>55</v>
      </c>
    </row>
    <row r="1500" spans="1:2" x14ac:dyDescent="0.35">
      <c r="A1500" s="1">
        <v>44042</v>
      </c>
      <c r="B1500">
        <v>440</v>
      </c>
    </row>
    <row r="1501" spans="1:2" x14ac:dyDescent="0.35">
      <c r="A1501" s="1">
        <v>44042</v>
      </c>
      <c r="B1501">
        <v>110</v>
      </c>
    </row>
    <row r="1502" spans="1:2" x14ac:dyDescent="0.35">
      <c r="A1502" s="1">
        <v>44042</v>
      </c>
      <c r="B1502">
        <v>55</v>
      </c>
    </row>
    <row r="1503" spans="1:2" x14ac:dyDescent="0.35">
      <c r="A1503" s="1">
        <v>44042</v>
      </c>
      <c r="B1503">
        <v>55</v>
      </c>
    </row>
    <row r="1504" spans="1:2" x14ac:dyDescent="0.35">
      <c r="A1504" s="1">
        <v>44042</v>
      </c>
      <c r="B1504">
        <v>110</v>
      </c>
    </row>
    <row r="1505" spans="1:2" x14ac:dyDescent="0.35">
      <c r="A1505" s="1">
        <v>44042</v>
      </c>
      <c r="B1505">
        <v>440</v>
      </c>
    </row>
    <row r="1506" spans="1:2" x14ac:dyDescent="0.35">
      <c r="A1506" s="1">
        <v>44042</v>
      </c>
      <c r="B1506">
        <v>220</v>
      </c>
    </row>
    <row r="1507" spans="1:2" x14ac:dyDescent="0.35">
      <c r="A1507" s="1">
        <v>44042</v>
      </c>
      <c r="B1507">
        <v>55</v>
      </c>
    </row>
    <row r="1508" spans="1:2" x14ac:dyDescent="0.35">
      <c r="A1508" s="1">
        <v>44042</v>
      </c>
      <c r="B1508">
        <v>165</v>
      </c>
    </row>
    <row r="1509" spans="1:2" x14ac:dyDescent="0.35">
      <c r="A1509" s="1">
        <v>44069</v>
      </c>
      <c r="B1509">
        <v>275</v>
      </c>
    </row>
    <row r="1510" spans="1:2" x14ac:dyDescent="0.35">
      <c r="A1510" s="1">
        <v>44069</v>
      </c>
      <c r="B1510">
        <v>110</v>
      </c>
    </row>
    <row r="1511" spans="1:2" x14ac:dyDescent="0.35">
      <c r="A1511" s="1">
        <v>44070</v>
      </c>
      <c r="B1511">
        <v>440</v>
      </c>
    </row>
    <row r="1512" spans="1:2" x14ac:dyDescent="0.35">
      <c r="A1512" s="1">
        <v>44070</v>
      </c>
      <c r="B1512">
        <v>55</v>
      </c>
    </row>
    <row r="1513" spans="1:2" x14ac:dyDescent="0.35">
      <c r="A1513" s="1">
        <v>44070</v>
      </c>
      <c r="B1513">
        <v>55</v>
      </c>
    </row>
    <row r="1514" spans="1:2" x14ac:dyDescent="0.35">
      <c r="A1514" s="1">
        <v>44070</v>
      </c>
      <c r="B1514">
        <v>165</v>
      </c>
    </row>
    <row r="1515" spans="1:2" x14ac:dyDescent="0.35">
      <c r="A1515" s="1">
        <v>44070</v>
      </c>
      <c r="B1515">
        <v>165</v>
      </c>
    </row>
    <row r="1516" spans="1:2" x14ac:dyDescent="0.35">
      <c r="A1516" s="1">
        <v>44070</v>
      </c>
      <c r="B1516">
        <v>55</v>
      </c>
    </row>
    <row r="1517" spans="1:2" x14ac:dyDescent="0.35">
      <c r="A1517" s="1">
        <v>44070</v>
      </c>
      <c r="B1517">
        <v>55</v>
      </c>
    </row>
    <row r="1518" spans="1:2" x14ac:dyDescent="0.35">
      <c r="A1518" s="1">
        <v>44090</v>
      </c>
      <c r="B1518">
        <v>55</v>
      </c>
    </row>
    <row r="1519" spans="1:2" x14ac:dyDescent="0.35">
      <c r="A1519" s="1">
        <v>44090</v>
      </c>
      <c r="B1519">
        <v>550</v>
      </c>
    </row>
    <row r="1520" spans="1:2" x14ac:dyDescent="0.35">
      <c r="A1520" s="1">
        <v>44090</v>
      </c>
      <c r="B1520">
        <v>55</v>
      </c>
    </row>
    <row r="1521" spans="1:2" x14ac:dyDescent="0.35">
      <c r="A1521" s="1">
        <v>44090</v>
      </c>
      <c r="B1521">
        <v>165</v>
      </c>
    </row>
    <row r="1522" spans="1:2" x14ac:dyDescent="0.35">
      <c r="A1522" s="1">
        <v>44090</v>
      </c>
      <c r="B1522">
        <v>110</v>
      </c>
    </row>
    <row r="1523" spans="1:2" x14ac:dyDescent="0.35">
      <c r="A1523" s="1">
        <v>44090</v>
      </c>
      <c r="B1523">
        <v>30</v>
      </c>
    </row>
    <row r="1524" spans="1:2" x14ac:dyDescent="0.35">
      <c r="A1524" s="1">
        <v>44090</v>
      </c>
      <c r="B1524">
        <v>220</v>
      </c>
    </row>
    <row r="1525" spans="1:2" x14ac:dyDescent="0.35">
      <c r="A1525" s="1">
        <v>44090</v>
      </c>
      <c r="B1525">
        <v>265</v>
      </c>
    </row>
    <row r="1526" spans="1:2" x14ac:dyDescent="0.35">
      <c r="A1526" s="1">
        <v>44095</v>
      </c>
      <c r="B1526">
        <v>220</v>
      </c>
    </row>
    <row r="1527" spans="1:2" x14ac:dyDescent="0.35">
      <c r="A1527" s="1">
        <v>44095</v>
      </c>
      <c r="B1527">
        <v>275</v>
      </c>
    </row>
    <row r="1528" spans="1:2" x14ac:dyDescent="0.35">
      <c r="A1528" s="1">
        <v>44099</v>
      </c>
      <c r="B1528">
        <v>165</v>
      </c>
    </row>
    <row r="1529" spans="1:2" x14ac:dyDescent="0.35">
      <c r="A1529" s="1">
        <v>44099</v>
      </c>
      <c r="B1529">
        <v>110</v>
      </c>
    </row>
    <row r="1530" spans="1:2" x14ac:dyDescent="0.35">
      <c r="A1530" s="1">
        <v>44099</v>
      </c>
      <c r="B1530">
        <v>330</v>
      </c>
    </row>
    <row r="1531" spans="1:2" x14ac:dyDescent="0.35">
      <c r="A1531" s="1">
        <v>44099</v>
      </c>
      <c r="B1531">
        <v>55</v>
      </c>
    </row>
    <row r="1532" spans="1:2" x14ac:dyDescent="0.35">
      <c r="A1532" s="1">
        <v>44104</v>
      </c>
      <c r="B1532">
        <v>55</v>
      </c>
    </row>
    <row r="1533" spans="1:2" x14ac:dyDescent="0.35">
      <c r="A1533" s="1">
        <v>44104</v>
      </c>
      <c r="B1533">
        <v>55</v>
      </c>
    </row>
    <row r="1534" spans="1:2" x14ac:dyDescent="0.35">
      <c r="A1534" s="1">
        <v>44104</v>
      </c>
      <c r="B1534">
        <v>165</v>
      </c>
    </row>
    <row r="1535" spans="1:2" x14ac:dyDescent="0.35">
      <c r="A1535" s="1">
        <v>44104</v>
      </c>
      <c r="B1535">
        <v>55</v>
      </c>
    </row>
    <row r="1536" spans="1:2" x14ac:dyDescent="0.35">
      <c r="A1536" s="1">
        <v>44109</v>
      </c>
      <c r="B1536">
        <v>55</v>
      </c>
    </row>
    <row r="1537" spans="1:2" x14ac:dyDescent="0.35">
      <c r="A1537" s="1">
        <v>44111</v>
      </c>
      <c r="B1537">
        <v>220</v>
      </c>
    </row>
    <row r="1538" spans="1:2" x14ac:dyDescent="0.35">
      <c r="A1538" s="1">
        <v>44111</v>
      </c>
      <c r="B1538">
        <v>165</v>
      </c>
    </row>
    <row r="1539" spans="1:2" x14ac:dyDescent="0.35">
      <c r="A1539" s="1">
        <v>44126</v>
      </c>
      <c r="B1539">
        <v>165</v>
      </c>
    </row>
    <row r="1540" spans="1:2" x14ac:dyDescent="0.35">
      <c r="A1540" s="1">
        <v>44126</v>
      </c>
      <c r="B1540">
        <v>550</v>
      </c>
    </row>
    <row r="1541" spans="1:2" x14ac:dyDescent="0.35">
      <c r="A1541" s="1">
        <v>44126</v>
      </c>
      <c r="B1541">
        <v>220</v>
      </c>
    </row>
    <row r="1542" spans="1:2" x14ac:dyDescent="0.35">
      <c r="A1542" s="1">
        <v>44126</v>
      </c>
      <c r="B1542">
        <v>55</v>
      </c>
    </row>
    <row r="1543" spans="1:2" x14ac:dyDescent="0.35">
      <c r="A1543" s="1">
        <v>44126</v>
      </c>
      <c r="B1543">
        <v>55</v>
      </c>
    </row>
    <row r="1544" spans="1:2" x14ac:dyDescent="0.35">
      <c r="A1544" s="1">
        <v>44137</v>
      </c>
      <c r="B1544">
        <v>55</v>
      </c>
    </row>
    <row r="1545" spans="1:2" x14ac:dyDescent="0.35">
      <c r="A1545" s="1">
        <v>44137</v>
      </c>
      <c r="B1545">
        <v>55</v>
      </c>
    </row>
    <row r="1546" spans="1:2" x14ac:dyDescent="0.35">
      <c r="A1546" s="1">
        <v>44137</v>
      </c>
      <c r="B1546">
        <v>55</v>
      </c>
    </row>
    <row r="1547" spans="1:2" x14ac:dyDescent="0.35">
      <c r="A1547" s="1">
        <v>44137</v>
      </c>
      <c r="B1547">
        <v>10</v>
      </c>
    </row>
    <row r="1548" spans="1:2" x14ac:dyDescent="0.35">
      <c r="A1548" s="1">
        <v>44137</v>
      </c>
      <c r="B1548">
        <v>110</v>
      </c>
    </row>
    <row r="1549" spans="1:2" x14ac:dyDescent="0.35">
      <c r="A1549" s="1">
        <v>44137</v>
      </c>
      <c r="B1549">
        <v>220</v>
      </c>
    </row>
    <row r="1550" spans="1:2" x14ac:dyDescent="0.35">
      <c r="A1550" s="1">
        <v>44137</v>
      </c>
      <c r="B1550">
        <v>55</v>
      </c>
    </row>
    <row r="1551" spans="1:2" x14ac:dyDescent="0.35">
      <c r="A1551" s="1">
        <v>44137</v>
      </c>
      <c r="B1551">
        <v>55</v>
      </c>
    </row>
    <row r="1552" spans="1:2" x14ac:dyDescent="0.35">
      <c r="A1552" s="1">
        <v>44137</v>
      </c>
      <c r="B1552">
        <v>55</v>
      </c>
    </row>
    <row r="1553" spans="1:2" x14ac:dyDescent="0.35">
      <c r="A1553" s="1">
        <v>44153</v>
      </c>
      <c r="B1553">
        <v>220</v>
      </c>
    </row>
    <row r="1554" spans="1:2" x14ac:dyDescent="0.35">
      <c r="A1554" s="1">
        <v>44153</v>
      </c>
      <c r="B1554">
        <v>55</v>
      </c>
    </row>
    <row r="1555" spans="1:2" x14ac:dyDescent="0.35">
      <c r="A1555" s="1">
        <v>44153</v>
      </c>
      <c r="B1555">
        <v>10</v>
      </c>
    </row>
    <row r="1556" spans="1:2" x14ac:dyDescent="0.35">
      <c r="A1556" s="1">
        <v>44153</v>
      </c>
      <c r="B1556">
        <v>55</v>
      </c>
    </row>
    <row r="1557" spans="1:2" x14ac:dyDescent="0.35">
      <c r="A1557" s="1">
        <v>44154</v>
      </c>
      <c r="B1557">
        <v>55</v>
      </c>
    </row>
    <row r="1558" spans="1:2" x14ac:dyDescent="0.35">
      <c r="A1558" s="1">
        <v>44154</v>
      </c>
      <c r="B1558">
        <v>220</v>
      </c>
    </row>
    <row r="1559" spans="1:2" x14ac:dyDescent="0.35">
      <c r="A1559" s="1">
        <v>44154</v>
      </c>
      <c r="B1559">
        <v>55</v>
      </c>
    </row>
    <row r="1560" spans="1:2" x14ac:dyDescent="0.35">
      <c r="A1560" s="1">
        <v>44154</v>
      </c>
      <c r="B1560">
        <v>55</v>
      </c>
    </row>
    <row r="1561" spans="1:2" x14ac:dyDescent="0.35">
      <c r="A1561" s="1">
        <v>44154</v>
      </c>
      <c r="B1561">
        <v>55</v>
      </c>
    </row>
    <row r="1562" spans="1:2" x14ac:dyDescent="0.35">
      <c r="A1562" s="1">
        <v>44154</v>
      </c>
      <c r="B1562">
        <v>165</v>
      </c>
    </row>
    <row r="1563" spans="1:2" x14ac:dyDescent="0.35">
      <c r="A1563" s="1">
        <v>44173</v>
      </c>
      <c r="B1563">
        <v>220</v>
      </c>
    </row>
    <row r="1564" spans="1:2" x14ac:dyDescent="0.35">
      <c r="A1564" s="1">
        <v>44173</v>
      </c>
      <c r="B1564">
        <v>110</v>
      </c>
    </row>
    <row r="1565" spans="1:2" x14ac:dyDescent="0.35">
      <c r="A1565" s="1">
        <v>44173</v>
      </c>
      <c r="B1565">
        <v>110</v>
      </c>
    </row>
    <row r="1566" spans="1:2" x14ac:dyDescent="0.35">
      <c r="A1566" s="1">
        <v>44173</v>
      </c>
      <c r="B1566">
        <v>55</v>
      </c>
    </row>
    <row r="1567" spans="1:2" x14ac:dyDescent="0.35">
      <c r="A1567" s="1">
        <v>44173</v>
      </c>
      <c r="B1567">
        <v>220</v>
      </c>
    </row>
    <row r="1568" spans="1:2" x14ac:dyDescent="0.35">
      <c r="A1568" s="1">
        <v>44173</v>
      </c>
      <c r="B1568">
        <v>110</v>
      </c>
    </row>
    <row r="1569" spans="1:2" x14ac:dyDescent="0.35">
      <c r="A1569" s="1">
        <v>44173</v>
      </c>
      <c r="B1569">
        <v>110</v>
      </c>
    </row>
    <row r="1570" spans="1:2" x14ac:dyDescent="0.35">
      <c r="A1570" s="1">
        <v>44173</v>
      </c>
      <c r="B1570">
        <v>10</v>
      </c>
    </row>
    <row r="1571" spans="1:2" x14ac:dyDescent="0.35">
      <c r="A1571" s="1">
        <v>44181</v>
      </c>
      <c r="B1571">
        <v>275</v>
      </c>
    </row>
    <row r="1572" spans="1:2" x14ac:dyDescent="0.35">
      <c r="A1572" s="1">
        <v>44181</v>
      </c>
      <c r="B1572">
        <v>110</v>
      </c>
    </row>
    <row r="1573" spans="1:2" x14ac:dyDescent="0.35">
      <c r="A1573" s="1">
        <v>44181</v>
      </c>
      <c r="B1573">
        <v>55</v>
      </c>
    </row>
    <row r="1574" spans="1:2" x14ac:dyDescent="0.35">
      <c r="A1574" s="1">
        <v>44181</v>
      </c>
      <c r="B1574">
        <v>55</v>
      </c>
    </row>
    <row r="1575" spans="1:2" x14ac:dyDescent="0.35">
      <c r="A1575" s="1">
        <v>44196</v>
      </c>
      <c r="B1575">
        <v>330</v>
      </c>
    </row>
    <row r="1576" spans="1:2" x14ac:dyDescent="0.35">
      <c r="A1576" s="1">
        <v>44196</v>
      </c>
      <c r="B1576">
        <v>55</v>
      </c>
    </row>
    <row r="1577" spans="1:2" x14ac:dyDescent="0.35">
      <c r="A1577" s="1">
        <v>44196</v>
      </c>
      <c r="B1577">
        <v>55</v>
      </c>
    </row>
    <row r="1578" spans="1:2" x14ac:dyDescent="0.35">
      <c r="A1578" s="1">
        <v>44196</v>
      </c>
      <c r="B1578">
        <v>220</v>
      </c>
    </row>
    <row r="1579" spans="1:2" x14ac:dyDescent="0.35">
      <c r="A1579" s="1">
        <v>44196</v>
      </c>
      <c r="B1579">
        <v>550</v>
      </c>
    </row>
    <row r="1580" spans="1:2" x14ac:dyDescent="0.35">
      <c r="A1580" s="1">
        <v>44196</v>
      </c>
      <c r="B1580">
        <v>220</v>
      </c>
    </row>
    <row r="1581" spans="1:2" x14ac:dyDescent="0.35">
      <c r="A1581" s="1">
        <v>44196</v>
      </c>
      <c r="B1581">
        <v>220</v>
      </c>
    </row>
    <row r="1582" spans="1:2" x14ac:dyDescent="0.35">
      <c r="A1582" s="1">
        <v>44196</v>
      </c>
      <c r="B1582">
        <v>220</v>
      </c>
    </row>
    <row r="1583" spans="1:2" x14ac:dyDescent="0.35">
      <c r="A1583" s="1">
        <v>44196</v>
      </c>
      <c r="B1583">
        <v>110</v>
      </c>
    </row>
    <row r="1584" spans="1:2" x14ac:dyDescent="0.35">
      <c r="A1584" s="1">
        <v>44196</v>
      </c>
      <c r="B1584">
        <v>105</v>
      </c>
    </row>
    <row r="1585" spans="1:2" x14ac:dyDescent="0.35">
      <c r="A1585" s="1">
        <v>44196</v>
      </c>
      <c r="B1585">
        <v>165</v>
      </c>
    </row>
    <row r="1586" spans="1:2" x14ac:dyDescent="0.35">
      <c r="A1586" s="1">
        <v>44196</v>
      </c>
      <c r="B1586">
        <v>200</v>
      </c>
    </row>
    <row r="1587" spans="1:2" x14ac:dyDescent="0.35">
      <c r="A1587" s="1">
        <v>44196</v>
      </c>
      <c r="B1587">
        <v>110</v>
      </c>
    </row>
    <row r="1588" spans="1:2" x14ac:dyDescent="0.35">
      <c r="A1588" s="1">
        <v>44259</v>
      </c>
      <c r="B1588">
        <v>55</v>
      </c>
    </row>
    <row r="1589" spans="1:2" x14ac:dyDescent="0.35">
      <c r="A1589" s="1">
        <v>44259</v>
      </c>
      <c r="B1589">
        <v>110</v>
      </c>
    </row>
    <row r="1590" spans="1:2" x14ac:dyDescent="0.35">
      <c r="A1590" s="1">
        <v>44259</v>
      </c>
      <c r="B1590">
        <v>110</v>
      </c>
    </row>
    <row r="1591" spans="1:2" x14ac:dyDescent="0.35">
      <c r="A1591" s="1">
        <v>44259</v>
      </c>
      <c r="B1591">
        <v>50</v>
      </c>
    </row>
    <row r="1592" spans="1:2" x14ac:dyDescent="0.35">
      <c r="A1592" s="1">
        <v>44259</v>
      </c>
      <c r="B1592">
        <v>55</v>
      </c>
    </row>
    <row r="1593" spans="1:2" x14ac:dyDescent="0.35">
      <c r="A1593" s="1">
        <v>44260</v>
      </c>
      <c r="B1593">
        <v>55</v>
      </c>
    </row>
    <row r="1594" spans="1:2" x14ac:dyDescent="0.35">
      <c r="A1594" s="1">
        <v>44260</v>
      </c>
      <c r="B1594">
        <v>110</v>
      </c>
    </row>
    <row r="1595" spans="1:2" x14ac:dyDescent="0.35">
      <c r="A1595" s="1">
        <v>44260</v>
      </c>
      <c r="B1595">
        <v>110</v>
      </c>
    </row>
    <row r="1596" spans="1:2" x14ac:dyDescent="0.35">
      <c r="A1596" s="1">
        <v>44260</v>
      </c>
      <c r="B1596">
        <v>165</v>
      </c>
    </row>
    <row r="1597" spans="1:2" x14ac:dyDescent="0.35">
      <c r="A1597" s="1">
        <v>44287</v>
      </c>
      <c r="B1597">
        <v>275</v>
      </c>
    </row>
    <row r="1598" spans="1:2" x14ac:dyDescent="0.35">
      <c r="A1598" s="1">
        <v>44287</v>
      </c>
      <c r="B1598">
        <v>55</v>
      </c>
    </row>
    <row r="1599" spans="1:2" x14ac:dyDescent="0.35">
      <c r="A1599" s="1">
        <v>44294</v>
      </c>
      <c r="B1599">
        <v>165</v>
      </c>
    </row>
    <row r="1600" spans="1:2" x14ac:dyDescent="0.35">
      <c r="A1600" s="1">
        <v>44294</v>
      </c>
      <c r="B1600">
        <v>220</v>
      </c>
    </row>
    <row r="1601" spans="1:2" x14ac:dyDescent="0.35">
      <c r="A1601" s="1">
        <v>44294</v>
      </c>
      <c r="B1601">
        <v>55</v>
      </c>
    </row>
    <row r="1602" spans="1:2" x14ac:dyDescent="0.35">
      <c r="A1602" s="1">
        <v>44294</v>
      </c>
      <c r="B1602">
        <v>55</v>
      </c>
    </row>
    <row r="1603" spans="1:2" x14ac:dyDescent="0.35">
      <c r="A1603" s="1">
        <v>44294</v>
      </c>
      <c r="B1603">
        <v>55</v>
      </c>
    </row>
    <row r="1604" spans="1:2" x14ac:dyDescent="0.35">
      <c r="A1604" s="1">
        <v>44294</v>
      </c>
      <c r="B1604">
        <v>330</v>
      </c>
    </row>
    <row r="1605" spans="1:2" x14ac:dyDescent="0.35">
      <c r="A1605" s="1">
        <v>44295</v>
      </c>
      <c r="B1605">
        <v>55</v>
      </c>
    </row>
    <row r="1606" spans="1:2" x14ac:dyDescent="0.35">
      <c r="A1606" s="1">
        <v>44295</v>
      </c>
      <c r="B1606">
        <v>110</v>
      </c>
    </row>
    <row r="1607" spans="1:2" x14ac:dyDescent="0.35">
      <c r="A1607" s="1">
        <v>44299</v>
      </c>
      <c r="B1607">
        <v>55</v>
      </c>
    </row>
    <row r="1608" spans="1:2" x14ac:dyDescent="0.35">
      <c r="A1608" s="1">
        <v>44299</v>
      </c>
      <c r="B1608">
        <v>1100</v>
      </c>
    </row>
    <row r="1609" spans="1:2" x14ac:dyDescent="0.35">
      <c r="A1609" s="1">
        <v>44307</v>
      </c>
      <c r="B1609">
        <v>110</v>
      </c>
    </row>
    <row r="1610" spans="1:2" x14ac:dyDescent="0.35">
      <c r="A1610" s="1">
        <v>44307</v>
      </c>
      <c r="B1610">
        <v>55</v>
      </c>
    </row>
    <row r="1611" spans="1:2" x14ac:dyDescent="0.35">
      <c r="A1611" s="1">
        <v>44308</v>
      </c>
      <c r="B1611">
        <v>230</v>
      </c>
    </row>
    <row r="1612" spans="1:2" x14ac:dyDescent="0.35">
      <c r="A1612" s="1">
        <v>44328</v>
      </c>
      <c r="B1612">
        <v>55</v>
      </c>
    </row>
    <row r="1613" spans="1:2" x14ac:dyDescent="0.35">
      <c r="A1613" s="1">
        <v>44328</v>
      </c>
      <c r="B1613">
        <v>110</v>
      </c>
    </row>
    <row r="1614" spans="1:2" x14ac:dyDescent="0.35">
      <c r="A1614" s="1">
        <v>44350</v>
      </c>
      <c r="B1614">
        <v>30</v>
      </c>
    </row>
    <row r="1615" spans="1:2" x14ac:dyDescent="0.35">
      <c r="A1615" s="1">
        <v>44350</v>
      </c>
      <c r="B1615">
        <v>-110</v>
      </c>
    </row>
    <row r="1616" spans="1:2" x14ac:dyDescent="0.35">
      <c r="A1616" s="1">
        <v>44350</v>
      </c>
      <c r="B1616">
        <v>55</v>
      </c>
    </row>
    <row r="1617" spans="1:2" x14ac:dyDescent="0.35">
      <c r="A1617" s="1">
        <v>44350</v>
      </c>
      <c r="B1617">
        <v>55</v>
      </c>
    </row>
    <row r="1618" spans="1:2" x14ac:dyDescent="0.35">
      <c r="A1618" s="1">
        <v>44350</v>
      </c>
      <c r="B1618">
        <v>110</v>
      </c>
    </row>
    <row r="1619" spans="1:2" x14ac:dyDescent="0.35">
      <c r="A1619" s="1">
        <v>44355</v>
      </c>
      <c r="B1619">
        <v>55</v>
      </c>
    </row>
    <row r="1620" spans="1:2" x14ac:dyDescent="0.35">
      <c r="A1620" s="1">
        <v>44355</v>
      </c>
      <c r="B1620">
        <v>330</v>
      </c>
    </row>
    <row r="1621" spans="1:2" x14ac:dyDescent="0.35">
      <c r="A1621" s="1">
        <v>44355</v>
      </c>
      <c r="B1621">
        <v>165</v>
      </c>
    </row>
    <row r="1622" spans="1:2" x14ac:dyDescent="0.35">
      <c r="A1622" s="1">
        <v>44369</v>
      </c>
      <c r="B1622">
        <v>110</v>
      </c>
    </row>
    <row r="1623" spans="1:2" x14ac:dyDescent="0.35">
      <c r="A1623" s="1">
        <v>44369</v>
      </c>
      <c r="B1623">
        <v>110</v>
      </c>
    </row>
    <row r="1624" spans="1:2" x14ac:dyDescent="0.35">
      <c r="A1624" s="1">
        <v>44369</v>
      </c>
      <c r="B1624">
        <v>220</v>
      </c>
    </row>
    <row r="1625" spans="1:2" x14ac:dyDescent="0.35">
      <c r="A1625" s="1">
        <v>44369</v>
      </c>
      <c r="B1625">
        <v>110</v>
      </c>
    </row>
    <row r="1626" spans="1:2" x14ac:dyDescent="0.35">
      <c r="A1626" s="1">
        <v>44369</v>
      </c>
      <c r="B1626">
        <v>55</v>
      </c>
    </row>
    <row r="1627" spans="1:2" x14ac:dyDescent="0.35">
      <c r="A1627" s="1">
        <v>44370</v>
      </c>
      <c r="B1627">
        <v>55</v>
      </c>
    </row>
    <row r="1628" spans="1:2" x14ac:dyDescent="0.35">
      <c r="A1628" s="1">
        <v>44370</v>
      </c>
      <c r="B1628">
        <v>110</v>
      </c>
    </row>
    <row r="1629" spans="1:2" x14ac:dyDescent="0.35">
      <c r="A1629" s="1">
        <v>44370</v>
      </c>
      <c r="B1629">
        <v>55</v>
      </c>
    </row>
    <row r="1630" spans="1:2" x14ac:dyDescent="0.35">
      <c r="A1630" s="1">
        <v>44370</v>
      </c>
      <c r="B1630">
        <v>275</v>
      </c>
    </row>
    <row r="1631" spans="1:2" x14ac:dyDescent="0.35">
      <c r="A1631" s="1">
        <v>44385</v>
      </c>
      <c r="B1631">
        <v>220</v>
      </c>
    </row>
    <row r="1632" spans="1:2" x14ac:dyDescent="0.35">
      <c r="A1632" s="1">
        <v>44385</v>
      </c>
      <c r="B1632">
        <v>110</v>
      </c>
    </row>
    <row r="1633" spans="1:2" x14ac:dyDescent="0.35">
      <c r="A1633" s="1">
        <v>44385</v>
      </c>
      <c r="B1633">
        <v>-55</v>
      </c>
    </row>
    <row r="1634" spans="1:2" x14ac:dyDescent="0.35">
      <c r="A1634" s="1">
        <v>44392</v>
      </c>
      <c r="B1634">
        <v>440</v>
      </c>
    </row>
    <row r="1635" spans="1:2" x14ac:dyDescent="0.35">
      <c r="A1635" s="1">
        <v>44392</v>
      </c>
      <c r="B1635">
        <v>220</v>
      </c>
    </row>
    <row r="1636" spans="1:2" x14ac:dyDescent="0.35">
      <c r="A1636" s="1">
        <v>44392</v>
      </c>
      <c r="B1636">
        <v>220</v>
      </c>
    </row>
    <row r="1637" spans="1:2" x14ac:dyDescent="0.35">
      <c r="A1637" s="1">
        <v>44392</v>
      </c>
      <c r="B1637">
        <v>55</v>
      </c>
    </row>
    <row r="1638" spans="1:2" x14ac:dyDescent="0.35">
      <c r="A1638" s="1">
        <v>44393</v>
      </c>
      <c r="B1638">
        <v>165</v>
      </c>
    </row>
    <row r="1639" spans="1:2" x14ac:dyDescent="0.35">
      <c r="A1639" s="1">
        <v>44403</v>
      </c>
      <c r="B1639">
        <v>275</v>
      </c>
    </row>
    <row r="1640" spans="1:2" x14ac:dyDescent="0.35">
      <c r="A1640" s="1">
        <v>44403</v>
      </c>
      <c r="B1640">
        <v>110</v>
      </c>
    </row>
    <row r="1641" spans="1:2" x14ac:dyDescent="0.35">
      <c r="A1641" s="1">
        <v>44403</v>
      </c>
      <c r="B1641">
        <v>110</v>
      </c>
    </row>
    <row r="1642" spans="1:2" x14ac:dyDescent="0.35">
      <c r="A1642" s="1">
        <v>44432</v>
      </c>
      <c r="B1642">
        <v>110</v>
      </c>
    </row>
    <row r="1643" spans="1:2" x14ac:dyDescent="0.35">
      <c r="A1643" s="1">
        <v>44432</v>
      </c>
      <c r="B1643">
        <v>110</v>
      </c>
    </row>
    <row r="1644" spans="1:2" x14ac:dyDescent="0.35">
      <c r="A1644" s="1">
        <v>44432</v>
      </c>
      <c r="B1644">
        <v>165</v>
      </c>
    </row>
    <row r="1645" spans="1:2" x14ac:dyDescent="0.35">
      <c r="A1645" s="1">
        <v>44432</v>
      </c>
      <c r="B1645">
        <v>55</v>
      </c>
    </row>
    <row r="1646" spans="1:2" x14ac:dyDescent="0.35">
      <c r="A1646" s="1">
        <v>44432</v>
      </c>
      <c r="B1646">
        <v>165</v>
      </c>
    </row>
    <row r="1647" spans="1:2" x14ac:dyDescent="0.35">
      <c r="A1647" s="1">
        <v>44432</v>
      </c>
      <c r="B1647">
        <v>770</v>
      </c>
    </row>
    <row r="1648" spans="1:2" x14ac:dyDescent="0.35">
      <c r="A1648" s="1">
        <v>44432</v>
      </c>
      <c r="B1648">
        <v>55</v>
      </c>
    </row>
    <row r="1649" spans="1:2" x14ac:dyDescent="0.35">
      <c r="A1649" s="1">
        <v>44432</v>
      </c>
      <c r="B1649">
        <v>275</v>
      </c>
    </row>
    <row r="1650" spans="1:2" x14ac:dyDescent="0.35">
      <c r="A1650" s="1">
        <v>44432</v>
      </c>
      <c r="B1650">
        <v>110</v>
      </c>
    </row>
    <row r="1651" spans="1:2" x14ac:dyDescent="0.35">
      <c r="A1651" s="1">
        <v>44433</v>
      </c>
      <c r="B1651">
        <v>55</v>
      </c>
    </row>
    <row r="1652" spans="1:2" x14ac:dyDescent="0.35">
      <c r="A1652" s="1">
        <v>44433</v>
      </c>
      <c r="B1652">
        <v>110</v>
      </c>
    </row>
    <row r="1653" spans="1:2" x14ac:dyDescent="0.35">
      <c r="A1653" s="1">
        <v>44446</v>
      </c>
      <c r="B1653">
        <v>55</v>
      </c>
    </row>
    <row r="1654" spans="1:2" x14ac:dyDescent="0.35">
      <c r="A1654" s="1">
        <v>44446</v>
      </c>
      <c r="B1654">
        <v>110</v>
      </c>
    </row>
    <row r="1655" spans="1:2" x14ac:dyDescent="0.35">
      <c r="A1655" s="1">
        <v>44455</v>
      </c>
      <c r="B1655">
        <v>165</v>
      </c>
    </row>
    <row r="1656" spans="1:2" x14ac:dyDescent="0.35">
      <c r="A1656" s="1">
        <v>44459</v>
      </c>
      <c r="B1656">
        <v>440</v>
      </c>
    </row>
    <row r="1657" spans="1:2" x14ac:dyDescent="0.35">
      <c r="A1657" s="1">
        <v>44468</v>
      </c>
      <c r="B1657">
        <v>165</v>
      </c>
    </row>
    <row r="1658" spans="1:2" x14ac:dyDescent="0.35">
      <c r="A1658" s="1">
        <v>44468</v>
      </c>
      <c r="B1658">
        <v>330</v>
      </c>
    </row>
    <row r="1659" spans="1:2" x14ac:dyDescent="0.35">
      <c r="A1659" s="1">
        <v>44468</v>
      </c>
      <c r="B1659">
        <v>55</v>
      </c>
    </row>
    <row r="1660" spans="1:2" x14ac:dyDescent="0.35">
      <c r="A1660" s="1">
        <v>44494</v>
      </c>
      <c r="B1660">
        <v>825</v>
      </c>
    </row>
    <row r="1661" spans="1:2" x14ac:dyDescent="0.35">
      <c r="A1661" s="1">
        <v>44494</v>
      </c>
      <c r="B1661">
        <v>220</v>
      </c>
    </row>
    <row r="1662" spans="1:2" x14ac:dyDescent="0.35">
      <c r="A1662" s="1">
        <v>44512</v>
      </c>
      <c r="B1662">
        <v>110</v>
      </c>
    </row>
    <row r="1663" spans="1:2" x14ac:dyDescent="0.35">
      <c r="A1663" s="1">
        <v>44512</v>
      </c>
      <c r="B1663">
        <v>55</v>
      </c>
    </row>
    <row r="1664" spans="1:2" x14ac:dyDescent="0.35">
      <c r="A1664" s="1">
        <v>44512</v>
      </c>
      <c r="B1664">
        <v>220</v>
      </c>
    </row>
    <row r="1665" spans="1:2" x14ac:dyDescent="0.35">
      <c r="A1665" s="1">
        <v>44512</v>
      </c>
      <c r="B1665">
        <v>165</v>
      </c>
    </row>
    <row r="1666" spans="1:2" x14ac:dyDescent="0.35">
      <c r="A1666" s="1">
        <v>44543</v>
      </c>
      <c r="B1666">
        <v>550</v>
      </c>
    </row>
    <row r="1667" spans="1:2" x14ac:dyDescent="0.35">
      <c r="A1667" s="1">
        <v>44543</v>
      </c>
      <c r="B1667">
        <v>275</v>
      </c>
    </row>
    <row r="1668" spans="1:2" x14ac:dyDescent="0.35">
      <c r="A1668" s="1">
        <v>44543</v>
      </c>
      <c r="B1668">
        <v>110</v>
      </c>
    </row>
    <row r="1669" spans="1:2" x14ac:dyDescent="0.35">
      <c r="A1669" s="1">
        <v>44543</v>
      </c>
      <c r="B1669">
        <v>70</v>
      </c>
    </row>
    <row r="1670" spans="1:2" x14ac:dyDescent="0.35">
      <c r="A1670" s="1">
        <v>44557</v>
      </c>
      <c r="B1670">
        <v>220</v>
      </c>
    </row>
    <row r="1671" spans="1:2" x14ac:dyDescent="0.35">
      <c r="A1671" s="1">
        <v>44557</v>
      </c>
      <c r="B1671">
        <v>55</v>
      </c>
    </row>
    <row r="1672" spans="1:2" x14ac:dyDescent="0.35">
      <c r="A1672" s="1">
        <v>44557</v>
      </c>
      <c r="B1672">
        <v>55</v>
      </c>
    </row>
    <row r="1673" spans="1:2" x14ac:dyDescent="0.35">
      <c r="A1673" s="1">
        <v>44557</v>
      </c>
      <c r="B1673">
        <v>55</v>
      </c>
    </row>
    <row r="1674" spans="1:2" x14ac:dyDescent="0.35">
      <c r="A1674" s="1">
        <v>44557</v>
      </c>
      <c r="B1674">
        <v>40</v>
      </c>
    </row>
    <row r="1675" spans="1:2" x14ac:dyDescent="0.35">
      <c r="A1675" s="1">
        <v>44561</v>
      </c>
      <c r="B1675">
        <v>200</v>
      </c>
    </row>
    <row r="1676" spans="1:2" x14ac:dyDescent="0.35">
      <c r="A1676" s="1">
        <v>44561</v>
      </c>
      <c r="B1676">
        <v>280</v>
      </c>
    </row>
    <row r="1677" spans="1:2" x14ac:dyDescent="0.35">
      <c r="A1677" s="1">
        <v>44561</v>
      </c>
      <c r="B1677">
        <v>200</v>
      </c>
    </row>
    <row r="1679" spans="1:2" x14ac:dyDescent="0.35">
      <c r="A1679" s="1" t="s">
        <v>34</v>
      </c>
      <c r="B1679">
        <f>SUM(B2:B1677)</f>
        <v>248818</v>
      </c>
    </row>
    <row r="1680" spans="1:2" x14ac:dyDescent="0.35">
      <c r="A1680" s="1" t="s">
        <v>35</v>
      </c>
      <c r="B1680">
        <v>4017</v>
      </c>
    </row>
    <row r="1681" spans="1:2" x14ac:dyDescent="0.35">
      <c r="A1681" s="1" t="s">
        <v>36</v>
      </c>
      <c r="B1681" s="6">
        <f>(B1679/B1680)*12.73</f>
        <v>788.51210853871044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FA557-0F53-47B4-AE64-58FA5CB37178}">
  <dimension ref="A1:L257"/>
  <sheetViews>
    <sheetView topLeftCell="B1" workbookViewId="0">
      <selection activeCell="G2" sqref="G2"/>
    </sheetView>
  </sheetViews>
  <sheetFormatPr defaultRowHeight="14.5" x14ac:dyDescent="0.35"/>
  <cols>
    <col min="1" max="1" width="38.6328125" bestFit="1" customWidth="1"/>
    <col min="2" max="2" width="16.08984375" bestFit="1" customWidth="1"/>
    <col min="3" max="3" width="11.453125" bestFit="1" customWidth="1"/>
    <col min="4" max="4" width="31.90625" bestFit="1" customWidth="1"/>
    <col min="5" max="5" width="24.7265625" bestFit="1" customWidth="1"/>
    <col min="6" max="6" width="18.7265625" bestFit="1" customWidth="1"/>
    <col min="7" max="7" width="10" bestFit="1" customWidth="1"/>
    <col min="8" max="8" width="28.54296875" bestFit="1" customWidth="1"/>
    <col min="10" max="10" width="16.453125" bestFit="1" customWidth="1"/>
  </cols>
  <sheetData>
    <row r="1" spans="1:9" x14ac:dyDescent="0.35">
      <c r="A1" s="31" t="s">
        <v>105</v>
      </c>
      <c r="B1" s="31" t="s">
        <v>158</v>
      </c>
      <c r="C1" s="31" t="s">
        <v>159</v>
      </c>
      <c r="D1" s="31" t="s">
        <v>160</v>
      </c>
      <c r="E1" s="31" t="s">
        <v>161</v>
      </c>
      <c r="F1" s="31" t="s">
        <v>106</v>
      </c>
    </row>
    <row r="2" spans="1:9" x14ac:dyDescent="0.35">
      <c r="A2" s="77">
        <v>43132</v>
      </c>
      <c r="B2" s="39">
        <v>5250</v>
      </c>
      <c r="C2" s="39" t="s">
        <v>154</v>
      </c>
      <c r="D2" s="39" t="s">
        <v>155</v>
      </c>
      <c r="E2" s="35">
        <f>B2*4.09</f>
        <v>21472.5</v>
      </c>
      <c r="F2" s="72">
        <f>E2+E3</f>
        <v>44613.75</v>
      </c>
      <c r="I2" s="20"/>
    </row>
    <row r="3" spans="1:9" x14ac:dyDescent="0.35">
      <c r="A3" s="78"/>
      <c r="B3" s="39">
        <v>1815</v>
      </c>
      <c r="C3" s="39" t="s">
        <v>157</v>
      </c>
      <c r="D3" s="39" t="s">
        <v>156</v>
      </c>
      <c r="E3" s="35">
        <f>B3*12.75</f>
        <v>23141.25</v>
      </c>
      <c r="F3" s="73"/>
      <c r="I3" s="20"/>
    </row>
    <row r="4" spans="1:9" x14ac:dyDescent="0.35">
      <c r="A4" s="79">
        <v>43188</v>
      </c>
      <c r="B4" s="40">
        <f>4200+7350</f>
        <v>11550</v>
      </c>
      <c r="C4" s="40" t="s">
        <v>154</v>
      </c>
      <c r="D4" s="40" t="s">
        <v>155</v>
      </c>
      <c r="E4" s="36">
        <f>B4*4.09</f>
        <v>47239.5</v>
      </c>
      <c r="F4" s="76">
        <f>E4+E5</f>
        <v>70380.75</v>
      </c>
      <c r="I4" s="20"/>
    </row>
    <row r="5" spans="1:9" x14ac:dyDescent="0.35">
      <c r="A5" s="79"/>
      <c r="B5" s="40">
        <v>1815</v>
      </c>
      <c r="C5" s="40" t="s">
        <v>157</v>
      </c>
      <c r="D5" s="40" t="s">
        <v>156</v>
      </c>
      <c r="E5" s="36">
        <f>B5*12.75</f>
        <v>23141.25</v>
      </c>
      <c r="F5" s="76"/>
      <c r="I5" s="20"/>
    </row>
    <row r="6" spans="1:9" x14ac:dyDescent="0.35">
      <c r="A6" s="77">
        <v>43216</v>
      </c>
      <c r="B6" s="39">
        <f>3150+8400</f>
        <v>11550</v>
      </c>
      <c r="C6" s="39" t="s">
        <v>154</v>
      </c>
      <c r="D6" s="39" t="s">
        <v>155</v>
      </c>
      <c r="E6" s="35">
        <f>B6*4.09</f>
        <v>47239.5</v>
      </c>
      <c r="F6" s="72">
        <f>E6+E7</f>
        <v>70380.75</v>
      </c>
      <c r="I6" s="20"/>
    </row>
    <row r="7" spans="1:9" x14ac:dyDescent="0.35">
      <c r="A7" s="78"/>
      <c r="B7" s="39">
        <v>1815</v>
      </c>
      <c r="C7" s="39" t="s">
        <v>157</v>
      </c>
      <c r="D7" s="39" t="s">
        <v>156</v>
      </c>
      <c r="E7" s="35">
        <f>B7*12.75</f>
        <v>23141.25</v>
      </c>
      <c r="F7" s="73"/>
      <c r="I7" s="20"/>
    </row>
    <row r="8" spans="1:9" x14ac:dyDescent="0.35">
      <c r="A8" s="37">
        <v>43249</v>
      </c>
      <c r="B8" s="41">
        <v>6300</v>
      </c>
      <c r="C8" s="40" t="s">
        <v>154</v>
      </c>
      <c r="D8" s="40" t="s">
        <v>155</v>
      </c>
      <c r="E8" s="42">
        <f>B8*4.09</f>
        <v>25767</v>
      </c>
      <c r="F8" s="40">
        <v>25767</v>
      </c>
      <c r="I8" s="20"/>
    </row>
    <row r="9" spans="1:9" x14ac:dyDescent="0.35">
      <c r="A9" s="71">
        <v>43280</v>
      </c>
      <c r="B9" s="39">
        <v>17850</v>
      </c>
      <c r="C9" s="39" t="s">
        <v>154</v>
      </c>
      <c r="D9" s="39" t="s">
        <v>155</v>
      </c>
      <c r="E9" s="35">
        <f>B9*4.09</f>
        <v>73006.5</v>
      </c>
      <c r="F9" s="72">
        <f>E9+E10</f>
        <v>122094</v>
      </c>
      <c r="I9" s="20"/>
    </row>
    <row r="10" spans="1:9" x14ac:dyDescent="0.35">
      <c r="A10" s="71"/>
      <c r="B10" s="39">
        <v>3850</v>
      </c>
      <c r="C10" s="39" t="s">
        <v>157</v>
      </c>
      <c r="D10" s="39" t="s">
        <v>156</v>
      </c>
      <c r="E10" s="35">
        <f>B10*12.75</f>
        <v>49087.5</v>
      </c>
      <c r="F10" s="73"/>
      <c r="I10" s="20"/>
    </row>
    <row r="11" spans="1:9" x14ac:dyDescent="0.35">
      <c r="A11" s="74">
        <v>43306</v>
      </c>
      <c r="B11" s="40">
        <v>11700</v>
      </c>
      <c r="C11" s="40" t="s">
        <v>154</v>
      </c>
      <c r="D11" s="40" t="s">
        <v>155</v>
      </c>
      <c r="E11" s="36">
        <f>B11*4.09</f>
        <v>47853</v>
      </c>
      <c r="F11" s="76">
        <f>E11+E12</f>
        <v>63981.75</v>
      </c>
      <c r="I11" s="20"/>
    </row>
    <row r="12" spans="1:9" x14ac:dyDescent="0.35">
      <c r="A12" s="75"/>
      <c r="B12" s="40">
        <v>1265</v>
      </c>
      <c r="C12" s="40" t="s">
        <v>157</v>
      </c>
      <c r="D12" s="40" t="s">
        <v>156</v>
      </c>
      <c r="E12" s="36">
        <f>B12*12.75</f>
        <v>16128.75</v>
      </c>
      <c r="F12" s="76"/>
      <c r="I12" s="20"/>
    </row>
    <row r="13" spans="1:9" x14ac:dyDescent="0.35">
      <c r="A13" s="43">
        <v>43313</v>
      </c>
      <c r="B13" s="39">
        <v>1815</v>
      </c>
      <c r="C13" s="39" t="s">
        <v>157</v>
      </c>
      <c r="D13" s="39" t="s">
        <v>156</v>
      </c>
      <c r="E13" s="35">
        <f>B13*12.75</f>
        <v>23141.25</v>
      </c>
      <c r="F13" s="44">
        <v>23141.25</v>
      </c>
      <c r="I13" s="20"/>
    </row>
    <row r="14" spans="1:9" x14ac:dyDescent="0.35">
      <c r="A14" s="74">
        <v>43347</v>
      </c>
      <c r="B14" s="40">
        <v>8400</v>
      </c>
      <c r="C14" s="40" t="s">
        <v>154</v>
      </c>
      <c r="D14" s="40" t="s">
        <v>155</v>
      </c>
      <c r="E14" s="36">
        <f>B14*4.09</f>
        <v>34356</v>
      </c>
      <c r="F14" s="76">
        <f>E14+E15</f>
        <v>42771</v>
      </c>
      <c r="I14" s="20"/>
    </row>
    <row r="15" spans="1:9" x14ac:dyDescent="0.35">
      <c r="A15" s="75"/>
      <c r="B15" s="40">
        <v>660</v>
      </c>
      <c r="C15" s="40" t="s">
        <v>157</v>
      </c>
      <c r="D15" s="40" t="s">
        <v>156</v>
      </c>
      <c r="E15" s="36">
        <f>B15*12.75</f>
        <v>8415</v>
      </c>
      <c r="F15" s="76"/>
      <c r="I15" s="20"/>
    </row>
    <row r="16" spans="1:9" x14ac:dyDescent="0.35">
      <c r="A16" s="43">
        <v>43369</v>
      </c>
      <c r="B16" s="39">
        <v>4200</v>
      </c>
      <c r="C16" s="39" t="s">
        <v>154</v>
      </c>
      <c r="D16" s="39" t="s">
        <v>155</v>
      </c>
      <c r="E16" s="35">
        <f>B16*4.09</f>
        <v>17178</v>
      </c>
      <c r="F16" s="39">
        <v>17178</v>
      </c>
      <c r="I16" s="20"/>
    </row>
    <row r="17" spans="1:12" x14ac:dyDescent="0.35">
      <c r="A17" s="37">
        <v>43385</v>
      </c>
      <c r="B17" s="40">
        <f>1815*2</f>
        <v>3630</v>
      </c>
      <c r="C17" s="40" t="s">
        <v>157</v>
      </c>
      <c r="D17" s="40" t="s">
        <v>156</v>
      </c>
      <c r="E17" s="36">
        <f>B17*12.75</f>
        <v>46282.5</v>
      </c>
      <c r="F17" s="38">
        <v>46282.5</v>
      </c>
      <c r="I17" s="20"/>
    </row>
    <row r="18" spans="1:12" x14ac:dyDescent="0.35">
      <c r="A18" s="43">
        <v>43399</v>
      </c>
      <c r="B18" s="39">
        <v>7350</v>
      </c>
      <c r="C18" s="39" t="s">
        <v>154</v>
      </c>
      <c r="D18" s="39" t="s">
        <v>155</v>
      </c>
      <c r="E18" s="35">
        <f>B18*4.09</f>
        <v>30061.5</v>
      </c>
      <c r="F18" s="44">
        <v>30061.5</v>
      </c>
      <c r="I18" s="20"/>
    </row>
    <row r="19" spans="1:12" x14ac:dyDescent="0.35">
      <c r="A19" s="74">
        <v>43412</v>
      </c>
      <c r="B19" s="40">
        <f>2100+3150</f>
        <v>5250</v>
      </c>
      <c r="C19" s="40" t="s">
        <v>154</v>
      </c>
      <c r="D19" s="40" t="s">
        <v>155</v>
      </c>
      <c r="E19" s="36">
        <f>B19*4.09</f>
        <v>21472.5</v>
      </c>
      <c r="F19" s="76">
        <f>E19+E20</f>
        <v>28485</v>
      </c>
      <c r="I19" s="20"/>
    </row>
    <row r="20" spans="1:12" x14ac:dyDescent="0.35">
      <c r="A20" s="75"/>
      <c r="B20" s="40">
        <v>550</v>
      </c>
      <c r="C20" s="40" t="s">
        <v>157</v>
      </c>
      <c r="D20" s="40" t="s">
        <v>156</v>
      </c>
      <c r="E20" s="36">
        <f>B20*12.75</f>
        <v>7012.5</v>
      </c>
      <c r="F20" s="76"/>
      <c r="I20" s="20"/>
    </row>
    <row r="21" spans="1:12" x14ac:dyDescent="0.35">
      <c r="A21" s="43">
        <v>43423</v>
      </c>
      <c r="B21" s="39">
        <v>1815</v>
      </c>
      <c r="C21" s="39" t="s">
        <v>157</v>
      </c>
      <c r="D21" s="39" t="s">
        <v>156</v>
      </c>
      <c r="E21" s="35">
        <f>B21*12.75</f>
        <v>23141.25</v>
      </c>
      <c r="F21" s="44">
        <v>23141.25</v>
      </c>
      <c r="I21" s="20"/>
    </row>
    <row r="22" spans="1:12" x14ac:dyDescent="0.35">
      <c r="A22" s="37">
        <v>43452</v>
      </c>
      <c r="B22" s="40">
        <v>15750</v>
      </c>
      <c r="C22" s="40" t="s">
        <v>154</v>
      </c>
      <c r="D22" s="40" t="s">
        <v>155</v>
      </c>
      <c r="E22" s="36">
        <f>B22*4.09</f>
        <v>64417.5</v>
      </c>
      <c r="F22" s="38">
        <v>64417.5</v>
      </c>
      <c r="I22" s="20"/>
    </row>
    <row r="23" spans="1:12" x14ac:dyDescent="0.35">
      <c r="A23" s="1"/>
    </row>
    <row r="24" spans="1:12" x14ac:dyDescent="0.35">
      <c r="A24" s="80" t="s">
        <v>191</v>
      </c>
      <c r="B24" s="80"/>
      <c r="C24" s="80"/>
      <c r="D24" s="80"/>
      <c r="E24" s="80"/>
      <c r="F24" s="80"/>
      <c r="G24" s="80"/>
      <c r="H24" s="80"/>
    </row>
    <row r="25" spans="1:12" x14ac:dyDescent="0.35">
      <c r="A25" t="s">
        <v>108</v>
      </c>
      <c r="B25" t="s">
        <v>141</v>
      </c>
      <c r="C25" t="s">
        <v>50</v>
      </c>
      <c r="D25" t="s">
        <v>142</v>
      </c>
      <c r="E25" t="s">
        <v>109</v>
      </c>
      <c r="F25" t="s">
        <v>15</v>
      </c>
      <c r="G25" t="s">
        <v>110</v>
      </c>
      <c r="H25" t="s">
        <v>111</v>
      </c>
    </row>
    <row r="26" spans="1:12" x14ac:dyDescent="0.35">
      <c r="A26" s="5" t="s">
        <v>164</v>
      </c>
      <c r="B26">
        <v>0</v>
      </c>
      <c r="C26">
        <v>0</v>
      </c>
      <c r="D26">
        <v>4698</v>
      </c>
      <c r="E26" s="5">
        <v>4698</v>
      </c>
      <c r="F26" s="5">
        <v>22</v>
      </c>
      <c r="G26" s="5">
        <v>31</v>
      </c>
      <c r="H26">
        <f>E26*G26</f>
        <v>145638</v>
      </c>
    </row>
    <row r="27" spans="1:12" x14ac:dyDescent="0.35">
      <c r="A27" s="5" t="s">
        <v>165</v>
      </c>
      <c r="B27">
        <v>0</v>
      </c>
      <c r="C27" s="45">
        <v>1815</v>
      </c>
      <c r="D27">
        <f>D26-B27+C27</f>
        <v>6513</v>
      </c>
      <c r="E27" s="5">
        <f>(D26+C27+D27)/2</f>
        <v>6513</v>
      </c>
      <c r="F27" s="5">
        <v>20</v>
      </c>
      <c r="G27" s="5">
        <v>28</v>
      </c>
      <c r="H27">
        <f t="shared" ref="H27:H52" si="0">E27*G27</f>
        <v>182364</v>
      </c>
    </row>
    <row r="28" spans="1:12" s="27" customFormat="1" x14ac:dyDescent="0.35">
      <c r="A28" s="24" t="s">
        <v>166</v>
      </c>
      <c r="B28" s="25">
        <f>1100*F28/F30</f>
        <v>1047.6190476190477</v>
      </c>
      <c r="C28" s="24">
        <v>0</v>
      </c>
      <c r="D28" s="25">
        <f>D27-B28+C28</f>
        <v>5465.3809523809523</v>
      </c>
      <c r="E28" s="25">
        <f>(D27+C28+D28)/2</f>
        <v>5989.1904761904761</v>
      </c>
      <c r="F28" s="24">
        <v>20</v>
      </c>
      <c r="G28" s="24">
        <v>28</v>
      </c>
      <c r="H28"/>
    </row>
    <row r="29" spans="1:12" s="27" customFormat="1" x14ac:dyDescent="0.35">
      <c r="A29" s="24" t="s">
        <v>167</v>
      </c>
      <c r="B29" s="25">
        <f>1100*F29/F30</f>
        <v>52.38095238095238</v>
      </c>
      <c r="C29" s="46">
        <v>1815</v>
      </c>
      <c r="D29" s="25">
        <f>D28-B29+C29</f>
        <v>7228</v>
      </c>
      <c r="E29" s="25">
        <f>(D28+C29+D29)/2</f>
        <v>7254.1904761904761</v>
      </c>
      <c r="F29" s="24">
        <v>1</v>
      </c>
      <c r="G29" s="24">
        <v>3</v>
      </c>
      <c r="H29"/>
      <c r="L29"/>
    </row>
    <row r="30" spans="1:12" x14ac:dyDescent="0.35">
      <c r="A30" s="5" t="s">
        <v>168</v>
      </c>
      <c r="E30" s="22">
        <f>E28*G28/G30+E29*G29/G30</f>
        <v>6111.6098310291864</v>
      </c>
      <c r="F30" s="5">
        <v>21</v>
      </c>
      <c r="G30" s="5">
        <v>31</v>
      </c>
      <c r="H30">
        <f t="shared" si="0"/>
        <v>189459.90476190476</v>
      </c>
    </row>
    <row r="31" spans="1:12" s="27" customFormat="1" x14ac:dyDescent="0.35">
      <c r="A31" s="26" t="s">
        <v>169</v>
      </c>
      <c r="B31" s="25">
        <f>1760*F31/F33</f>
        <v>1496</v>
      </c>
      <c r="C31" s="24">
        <v>0</v>
      </c>
      <c r="D31" s="25">
        <f>D29-B31+C31</f>
        <v>5732</v>
      </c>
      <c r="E31" s="25">
        <f>D29*1/25+((D29+C31+D31)/2)*24/25</f>
        <v>6509.92</v>
      </c>
      <c r="F31" s="24">
        <v>17</v>
      </c>
      <c r="G31" s="24">
        <v>25</v>
      </c>
      <c r="H31"/>
      <c r="L31"/>
    </row>
    <row r="32" spans="1:12" s="27" customFormat="1" x14ac:dyDescent="0.35">
      <c r="A32" s="26" t="s">
        <v>170</v>
      </c>
      <c r="B32" s="25">
        <f>1760*F32/F33</f>
        <v>264</v>
      </c>
      <c r="C32" s="24">
        <v>1815</v>
      </c>
      <c r="D32" s="25">
        <f>D31-B32+C32</f>
        <v>7283</v>
      </c>
      <c r="E32" s="25">
        <f>(D31+C32+D32)/2</f>
        <v>7415</v>
      </c>
      <c r="F32" s="24">
        <v>3</v>
      </c>
      <c r="G32" s="24">
        <v>5</v>
      </c>
      <c r="H32"/>
      <c r="L32"/>
    </row>
    <row r="33" spans="1:8" x14ac:dyDescent="0.35">
      <c r="A33" s="28" t="s">
        <v>171</v>
      </c>
      <c r="E33" s="22">
        <f>E31*G31/G33+E32*G32/G33</f>
        <v>6660.7666666666664</v>
      </c>
      <c r="F33" s="5">
        <v>20</v>
      </c>
      <c r="G33" s="5">
        <v>30</v>
      </c>
      <c r="H33">
        <f t="shared" si="0"/>
        <v>199823</v>
      </c>
    </row>
    <row r="34" spans="1:8" x14ac:dyDescent="0.35">
      <c r="A34" s="28" t="s">
        <v>172</v>
      </c>
      <c r="B34">
        <v>1815</v>
      </c>
      <c r="C34">
        <v>0</v>
      </c>
      <c r="D34" s="47">
        <f>D32-B34+C34</f>
        <v>5468</v>
      </c>
      <c r="E34" s="22">
        <f>D32*1/31+((D32+C34+D34)/2)*30/31</f>
        <v>6404.7741935483873</v>
      </c>
      <c r="F34" s="5">
        <v>21</v>
      </c>
      <c r="G34" s="5">
        <v>31</v>
      </c>
      <c r="H34">
        <f t="shared" si="0"/>
        <v>198548</v>
      </c>
    </row>
    <row r="35" spans="1:8" x14ac:dyDescent="0.35">
      <c r="A35" s="24" t="s">
        <v>175</v>
      </c>
      <c r="B35" s="25">
        <f>2860*F35/F37</f>
        <v>2723.8095238095239</v>
      </c>
      <c r="C35" s="24">
        <v>0</v>
      </c>
      <c r="D35" s="25">
        <f>D34-B35+C35</f>
        <v>2744.1904761904761</v>
      </c>
      <c r="E35" s="25">
        <f>(D34+C35+D35)/2</f>
        <v>4106.0952380952385</v>
      </c>
      <c r="F35" s="24">
        <v>20</v>
      </c>
      <c r="G35" s="24">
        <v>28</v>
      </c>
    </row>
    <row r="36" spans="1:8" x14ac:dyDescent="0.35">
      <c r="A36" s="24" t="s">
        <v>176</v>
      </c>
      <c r="B36" s="25">
        <f>2860*F36/F37</f>
        <v>136.1904761904762</v>
      </c>
      <c r="C36" s="24">
        <v>3850</v>
      </c>
      <c r="D36" s="25">
        <f>D35-B36+C36</f>
        <v>6458</v>
      </c>
      <c r="E36" s="25">
        <f>(D35+C36+D36)/2</f>
        <v>6526.0952380952385</v>
      </c>
      <c r="F36" s="24">
        <v>1</v>
      </c>
      <c r="G36" s="24">
        <v>2</v>
      </c>
    </row>
    <row r="37" spans="1:8" x14ac:dyDescent="0.35">
      <c r="A37" s="5" t="s">
        <v>173</v>
      </c>
      <c r="E37" s="22">
        <f>E35*G35/G37+E36*G36/G37</f>
        <v>4267.4285714285725</v>
      </c>
      <c r="F37" s="5">
        <v>21</v>
      </c>
      <c r="G37" s="5">
        <v>30</v>
      </c>
      <c r="H37">
        <f t="shared" si="0"/>
        <v>128022.85714285717</v>
      </c>
    </row>
    <row r="38" spans="1:8" x14ac:dyDescent="0.35">
      <c r="A38" s="24" t="s">
        <v>177</v>
      </c>
      <c r="B38" s="25">
        <f>1540*F38/F40</f>
        <v>1155</v>
      </c>
      <c r="C38" s="24">
        <v>0</v>
      </c>
      <c r="D38" s="25">
        <f>D36-B38+C38</f>
        <v>5303</v>
      </c>
      <c r="E38" s="25">
        <f>D36*1/24+((D36+C38+D38)/2)*23/24</f>
        <v>5904.5625</v>
      </c>
      <c r="F38" s="24">
        <v>15</v>
      </c>
      <c r="G38" s="24">
        <v>24</v>
      </c>
    </row>
    <row r="39" spans="1:8" x14ac:dyDescent="0.35">
      <c r="A39" s="24" t="s">
        <v>178</v>
      </c>
      <c r="B39" s="25">
        <f>1540*F39/F40</f>
        <v>385</v>
      </c>
      <c r="C39" s="24">
        <v>1265</v>
      </c>
      <c r="D39" s="25">
        <f>D38-B39+C39</f>
        <v>6183</v>
      </c>
      <c r="E39" s="25">
        <f>(D38+C39+D39)/2</f>
        <v>6375.5</v>
      </c>
      <c r="F39" s="24">
        <v>5</v>
      </c>
      <c r="G39" s="24">
        <v>7</v>
      </c>
    </row>
    <row r="40" spans="1:8" x14ac:dyDescent="0.35">
      <c r="A40" s="5" t="s">
        <v>174</v>
      </c>
      <c r="E40" s="22">
        <f>E38*G38/G40+E39*G39/G40</f>
        <v>6010.9032258064517</v>
      </c>
      <c r="F40" s="5">
        <v>20</v>
      </c>
      <c r="G40" s="5">
        <v>31</v>
      </c>
      <c r="H40">
        <f t="shared" si="0"/>
        <v>186338</v>
      </c>
    </row>
    <row r="41" spans="1:8" x14ac:dyDescent="0.35">
      <c r="A41" s="5" t="s">
        <v>179</v>
      </c>
      <c r="B41">
        <v>880</v>
      </c>
      <c r="C41">
        <v>1815</v>
      </c>
      <c r="D41" s="6">
        <f>D39-B41+C41</f>
        <v>7118</v>
      </c>
      <c r="E41" s="5">
        <f>(D39+C41-B41)/2</f>
        <v>3559</v>
      </c>
      <c r="F41" s="5">
        <v>23</v>
      </c>
      <c r="G41" s="5">
        <v>31</v>
      </c>
      <c r="H41">
        <f t="shared" si="0"/>
        <v>110329</v>
      </c>
    </row>
    <row r="42" spans="1:8" x14ac:dyDescent="0.35">
      <c r="A42" s="24" t="s">
        <v>181</v>
      </c>
      <c r="B42" s="25">
        <f>1815*F42/F44</f>
        <v>95.526315789473685</v>
      </c>
      <c r="C42" s="24">
        <v>0</v>
      </c>
      <c r="D42" s="25">
        <f>D41-B42+C42</f>
        <v>7022.4736842105267</v>
      </c>
      <c r="E42" s="25">
        <f>D41*2/3+D42*1/3</f>
        <v>7086.1578947368416</v>
      </c>
      <c r="F42" s="24">
        <v>1</v>
      </c>
      <c r="G42" s="24">
        <v>3</v>
      </c>
    </row>
    <row r="43" spans="1:8" x14ac:dyDescent="0.35">
      <c r="A43" s="24" t="s">
        <v>180</v>
      </c>
      <c r="B43" s="25">
        <f>1815*F43/F44</f>
        <v>1719.4736842105262</v>
      </c>
      <c r="C43" s="24">
        <v>660</v>
      </c>
      <c r="D43" s="25">
        <f>D42-B43+C43</f>
        <v>5963</v>
      </c>
      <c r="E43" s="25">
        <f>(D42+C43+D43)/2</f>
        <v>6822.7368421052633</v>
      </c>
      <c r="F43" s="24">
        <v>18</v>
      </c>
      <c r="G43" s="24">
        <v>27</v>
      </c>
    </row>
    <row r="44" spans="1:8" x14ac:dyDescent="0.35">
      <c r="A44" s="5" t="s">
        <v>182</v>
      </c>
      <c r="E44" s="22">
        <f>E42*G42/G44+E43*G43/G44</f>
        <v>6849.0789473684208</v>
      </c>
      <c r="F44" s="5">
        <v>19</v>
      </c>
      <c r="G44" s="5">
        <v>30</v>
      </c>
      <c r="H44">
        <f t="shared" si="0"/>
        <v>205472.36842105261</v>
      </c>
    </row>
    <row r="45" spans="1:8" x14ac:dyDescent="0.35">
      <c r="A45" s="24" t="s">
        <v>197</v>
      </c>
      <c r="B45" s="25">
        <f>3080*F45/F47</f>
        <v>1205.2173913043478</v>
      </c>
      <c r="C45" s="24">
        <v>0</v>
      </c>
      <c r="D45" s="25">
        <f>D43-B45+C45</f>
        <v>4757.782608695652</v>
      </c>
      <c r="E45" s="25">
        <f>(D43+C45+D45)/2</f>
        <v>5360.391304347826</v>
      </c>
      <c r="F45" s="24">
        <v>9</v>
      </c>
      <c r="G45" s="24">
        <v>11</v>
      </c>
    </row>
    <row r="46" spans="1:8" x14ac:dyDescent="0.35">
      <c r="A46" s="26" t="s">
        <v>198</v>
      </c>
      <c r="B46" s="25">
        <f>3080*F46/F47</f>
        <v>1874.7826086956522</v>
      </c>
      <c r="C46" s="24">
        <v>3630</v>
      </c>
      <c r="D46" s="25">
        <f>D45-B46+C46</f>
        <v>6513</v>
      </c>
      <c r="E46" s="25">
        <f>(D45+C46+D46)/2</f>
        <v>7450.391304347826</v>
      </c>
      <c r="F46" s="24">
        <v>14</v>
      </c>
      <c r="G46" s="24">
        <v>20</v>
      </c>
    </row>
    <row r="47" spans="1:8" x14ac:dyDescent="0.35">
      <c r="A47" s="5" t="s">
        <v>187</v>
      </c>
      <c r="E47" s="22">
        <f>E45*G45/G47+E46*G46/G47</f>
        <v>6708.7784011220192</v>
      </c>
      <c r="F47" s="5">
        <v>23</v>
      </c>
      <c r="G47" s="5">
        <v>31</v>
      </c>
      <c r="H47">
        <f t="shared" si="0"/>
        <v>207972.13043478259</v>
      </c>
    </row>
    <row r="48" spans="1:8" x14ac:dyDescent="0.35">
      <c r="A48" s="24" t="s">
        <v>185</v>
      </c>
      <c r="B48" s="25">
        <f>2310*F48/F51</f>
        <v>525</v>
      </c>
      <c r="C48" s="24">
        <v>0</v>
      </c>
      <c r="D48" s="25">
        <f>D46-B48+C48</f>
        <v>5988</v>
      </c>
      <c r="E48" s="25">
        <f>(D46+C48+D48)/2</f>
        <v>6250.5</v>
      </c>
      <c r="F48" s="24">
        <v>5</v>
      </c>
      <c r="G48" s="24">
        <v>7</v>
      </c>
    </row>
    <row r="49" spans="1:10" x14ac:dyDescent="0.35">
      <c r="A49" s="48" t="s">
        <v>189</v>
      </c>
      <c r="B49" s="25">
        <f>2310*F49/F51</f>
        <v>735</v>
      </c>
      <c r="C49" s="24">
        <v>550</v>
      </c>
      <c r="D49" s="25">
        <f>D48-B49+C49</f>
        <v>5803</v>
      </c>
      <c r="E49" s="25">
        <f>(D48+C49+D49)/2</f>
        <v>6170.5</v>
      </c>
      <c r="F49" s="24">
        <v>7</v>
      </c>
      <c r="G49" s="24">
        <v>11</v>
      </c>
    </row>
    <row r="50" spans="1:10" x14ac:dyDescent="0.35">
      <c r="A50" s="49" t="s">
        <v>188</v>
      </c>
      <c r="B50" s="25">
        <f>2310*F50/F51</f>
        <v>1050</v>
      </c>
      <c r="C50" s="24">
        <v>1815</v>
      </c>
      <c r="D50" s="25">
        <f>D49-B50+C50</f>
        <v>6568</v>
      </c>
      <c r="E50" s="25">
        <f>(D49+C50+D50)/2</f>
        <v>7093</v>
      </c>
      <c r="F50" s="24">
        <v>10</v>
      </c>
      <c r="G50" s="24">
        <v>12</v>
      </c>
    </row>
    <row r="51" spans="1:10" x14ac:dyDescent="0.35">
      <c r="A51" s="5" t="s">
        <v>186</v>
      </c>
      <c r="E51" s="22">
        <f>E48*G48/G51+E49*G49/G51+E50*G50/G51</f>
        <v>6558.166666666667</v>
      </c>
      <c r="F51" s="5">
        <v>22</v>
      </c>
      <c r="G51" s="5">
        <f>SUM(G48:G50)</f>
        <v>30</v>
      </c>
      <c r="H51">
        <f t="shared" si="0"/>
        <v>196745</v>
      </c>
    </row>
    <row r="52" spans="1:10" x14ac:dyDescent="0.35">
      <c r="A52" s="5" t="s">
        <v>190</v>
      </c>
      <c r="B52">
        <v>3630</v>
      </c>
      <c r="C52" s="50">
        <v>0</v>
      </c>
      <c r="D52" s="51">
        <f>D50-B52+C52</f>
        <v>2938</v>
      </c>
      <c r="E52" s="22">
        <f>D50*2/31+((D50+C52+D52)/2)*29/31</f>
        <v>4870.0967741935483</v>
      </c>
      <c r="F52" s="5">
        <v>18</v>
      </c>
      <c r="G52" s="5">
        <v>31</v>
      </c>
      <c r="H52">
        <f t="shared" si="0"/>
        <v>150973</v>
      </c>
      <c r="J52" s="23" t="s">
        <v>136</v>
      </c>
    </row>
    <row r="53" spans="1:10" x14ac:dyDescent="0.35">
      <c r="A53" s="70" t="s">
        <v>135</v>
      </c>
      <c r="B53" s="70"/>
      <c r="C53" s="70"/>
      <c r="D53" s="70"/>
      <c r="E53" s="70"/>
      <c r="F53" s="70"/>
      <c r="G53" s="70"/>
      <c r="H53" s="29">
        <f>SUM(H29:H52)/365</f>
        <v>4859.4061938646491</v>
      </c>
      <c r="J53" s="6">
        <f>H53*12.75*0.8498</f>
        <v>52651.423140213781</v>
      </c>
    </row>
    <row r="54" spans="1:10" x14ac:dyDescent="0.35">
      <c r="A54" s="55"/>
      <c r="B54" s="55"/>
      <c r="C54" s="55"/>
      <c r="D54" s="55"/>
      <c r="E54" s="55"/>
      <c r="F54" s="55"/>
      <c r="G54" s="55"/>
      <c r="H54" s="22"/>
      <c r="J54" s="6"/>
    </row>
    <row r="55" spans="1:10" x14ac:dyDescent="0.35">
      <c r="A55" s="80" t="s">
        <v>155</v>
      </c>
      <c r="B55" s="80"/>
      <c r="C55" s="80"/>
      <c r="D55" s="80"/>
      <c r="E55" s="80"/>
      <c r="F55" s="80"/>
      <c r="G55" s="80"/>
      <c r="H55" s="80"/>
    </row>
    <row r="56" spans="1:10" x14ac:dyDescent="0.35">
      <c r="A56" t="s">
        <v>108</v>
      </c>
      <c r="B56" t="s">
        <v>192</v>
      </c>
      <c r="C56" t="s">
        <v>193</v>
      </c>
      <c r="D56" t="s">
        <v>194</v>
      </c>
      <c r="E56" t="s">
        <v>109</v>
      </c>
      <c r="F56" t="s">
        <v>15</v>
      </c>
      <c r="G56" t="s">
        <v>110</v>
      </c>
      <c r="H56" t="s">
        <v>111</v>
      </c>
    </row>
    <row r="57" spans="1:10" x14ac:dyDescent="0.35">
      <c r="A57" s="5" t="s">
        <v>164</v>
      </c>
      <c r="B57">
        <v>0</v>
      </c>
      <c r="C57">
        <v>0</v>
      </c>
      <c r="D57">
        <v>7750</v>
      </c>
      <c r="E57">
        <v>7750</v>
      </c>
      <c r="F57" s="5">
        <v>22</v>
      </c>
      <c r="G57" s="5">
        <v>31</v>
      </c>
      <c r="H57">
        <f>E57*G57</f>
        <v>240250</v>
      </c>
    </row>
    <row r="58" spans="1:10" x14ac:dyDescent="0.35">
      <c r="A58" s="5" t="s">
        <v>165</v>
      </c>
      <c r="B58">
        <v>0</v>
      </c>
      <c r="C58" s="45">
        <v>5250</v>
      </c>
      <c r="D58">
        <f>D57-B58+C58</f>
        <v>13000</v>
      </c>
      <c r="E58" s="5">
        <f>(D57+C58+D58)/2</f>
        <v>13000</v>
      </c>
      <c r="F58" s="5">
        <v>20</v>
      </c>
      <c r="G58" s="5">
        <v>28</v>
      </c>
      <c r="H58">
        <f>E58*G58</f>
        <v>364000</v>
      </c>
    </row>
    <row r="59" spans="1:10" x14ac:dyDescent="0.35">
      <c r="A59" s="24" t="s">
        <v>166</v>
      </c>
      <c r="B59" s="25">
        <f>6500*F59/F61</f>
        <v>6190.4761904761908</v>
      </c>
      <c r="C59" s="24">
        <v>0</v>
      </c>
      <c r="D59" s="25">
        <f>D58-B59+C59</f>
        <v>6809.5238095238092</v>
      </c>
      <c r="E59" s="25">
        <f>(D58+C59+D59)/2</f>
        <v>9904.7619047619046</v>
      </c>
      <c r="F59" s="24">
        <v>20</v>
      </c>
      <c r="G59" s="24">
        <v>28</v>
      </c>
      <c r="H59" s="27"/>
    </row>
    <row r="60" spans="1:10" x14ac:dyDescent="0.35">
      <c r="A60" s="24" t="s">
        <v>167</v>
      </c>
      <c r="B60" s="25">
        <f>6500*F60/F61</f>
        <v>309.52380952380952</v>
      </c>
      <c r="C60" s="52">
        <v>11550</v>
      </c>
      <c r="D60" s="25">
        <f>D59-B60+C60</f>
        <v>18050</v>
      </c>
      <c r="E60" s="25">
        <f>(D59+C60+D60)/2</f>
        <v>18204.761904761905</v>
      </c>
      <c r="F60" s="24">
        <v>1</v>
      </c>
      <c r="G60" s="24">
        <v>3</v>
      </c>
      <c r="H60" s="27"/>
    </row>
    <row r="61" spans="1:10" x14ac:dyDescent="0.35">
      <c r="A61" s="5" t="s">
        <v>168</v>
      </c>
      <c r="E61" s="22">
        <f>E59*G59/G61+E60*G60/G61</f>
        <v>10707.987711213518</v>
      </c>
      <c r="F61" s="5">
        <v>21</v>
      </c>
      <c r="G61" s="5">
        <v>31</v>
      </c>
      <c r="H61">
        <f>E61*G61</f>
        <v>331947.61904761905</v>
      </c>
    </row>
    <row r="62" spans="1:10" x14ac:dyDescent="0.35">
      <c r="A62" s="26" t="s">
        <v>169</v>
      </c>
      <c r="B62" s="25">
        <f>10500*F62/F64</f>
        <v>8925</v>
      </c>
      <c r="C62" s="24">
        <v>0</v>
      </c>
      <c r="D62" s="25">
        <f>D60-B62+C62</f>
        <v>9125</v>
      </c>
      <c r="E62" s="25">
        <f>D60*1/25+((D60+C62+D62)/2)*24/25</f>
        <v>13766</v>
      </c>
      <c r="F62" s="24">
        <v>17</v>
      </c>
      <c r="G62" s="24">
        <v>25</v>
      </c>
      <c r="H62" s="27"/>
    </row>
    <row r="63" spans="1:10" x14ac:dyDescent="0.35">
      <c r="A63" s="26" t="s">
        <v>170</v>
      </c>
      <c r="B63" s="25">
        <f>10500*F63/F64</f>
        <v>1575</v>
      </c>
      <c r="C63" s="24">
        <v>11550</v>
      </c>
      <c r="D63" s="25">
        <f>D62-B63+C63</f>
        <v>19100</v>
      </c>
      <c r="E63" s="25">
        <f>(D62+C63+D63)/2</f>
        <v>19887.5</v>
      </c>
      <c r="F63" s="24">
        <v>3</v>
      </c>
      <c r="G63" s="24">
        <v>5</v>
      </c>
      <c r="H63" s="27"/>
    </row>
    <row r="64" spans="1:10" x14ac:dyDescent="0.35">
      <c r="A64" s="28" t="s">
        <v>171</v>
      </c>
      <c r="E64" s="22">
        <f>E62*G62/G64+E63*G63/G64</f>
        <v>14786.25</v>
      </c>
      <c r="F64" s="5">
        <v>20</v>
      </c>
      <c r="G64" s="5">
        <v>30</v>
      </c>
      <c r="H64">
        <f>E64*G64</f>
        <v>443587.5</v>
      </c>
    </row>
    <row r="65" spans="1:8" x14ac:dyDescent="0.35">
      <c r="A65" s="26" t="s">
        <v>196</v>
      </c>
      <c r="B65" s="25">
        <f>11975*F65/F67</f>
        <v>10264.285714285714</v>
      </c>
      <c r="C65" s="24">
        <v>0</v>
      </c>
      <c r="D65" s="25">
        <f>D63-B65+C65</f>
        <v>8835.7142857142862</v>
      </c>
      <c r="E65" s="25">
        <f>D63*1/28+((D63+C65+D65)/2)*27/28</f>
        <v>14151.147959183672</v>
      </c>
      <c r="F65" s="24">
        <v>18</v>
      </c>
      <c r="G65" s="24">
        <v>28</v>
      </c>
    </row>
    <row r="66" spans="1:8" x14ac:dyDescent="0.35">
      <c r="A66" s="26" t="s">
        <v>195</v>
      </c>
      <c r="B66" s="25">
        <f>11975*F66/F67</f>
        <v>1710.7142857142858</v>
      </c>
      <c r="C66" s="24">
        <v>6300</v>
      </c>
      <c r="D66" s="25">
        <f>D65-B66+C66</f>
        <v>13425</v>
      </c>
      <c r="E66" s="25">
        <f>(D65+C66+D66)/2</f>
        <v>14280.357142857143</v>
      </c>
      <c r="F66" s="24">
        <v>3</v>
      </c>
      <c r="G66" s="24">
        <v>3</v>
      </c>
    </row>
    <row r="67" spans="1:8" x14ac:dyDescent="0.35">
      <c r="A67" s="28" t="s">
        <v>172</v>
      </c>
      <c r="D67" s="47"/>
      <c r="E67" s="22">
        <f>E65*G65/G67+E66*G66/G67</f>
        <v>14163.652073732719</v>
      </c>
      <c r="F67" s="5">
        <v>21</v>
      </c>
      <c r="G67" s="5">
        <v>31</v>
      </c>
      <c r="H67">
        <f>E67*G67</f>
        <v>439073.21428571432</v>
      </c>
    </row>
    <row r="68" spans="1:8" x14ac:dyDescent="0.35">
      <c r="A68" s="24" t="s">
        <v>175</v>
      </c>
      <c r="B68" s="25">
        <f>13000*F68/F70</f>
        <v>12380.952380952382</v>
      </c>
      <c r="C68" s="24">
        <v>0</v>
      </c>
      <c r="D68" s="25">
        <f>D66-B68+C68</f>
        <v>1044.0476190476184</v>
      </c>
      <c r="E68" s="25">
        <f>(D66+C68+D68)/2</f>
        <v>7234.5238095238092</v>
      </c>
      <c r="F68" s="24">
        <v>20</v>
      </c>
      <c r="G68" s="24">
        <v>28</v>
      </c>
    </row>
    <row r="69" spans="1:8" x14ac:dyDescent="0.35">
      <c r="A69" s="24" t="s">
        <v>176</v>
      </c>
      <c r="B69" s="25">
        <f>13000*F69/F70</f>
        <v>619.04761904761904</v>
      </c>
      <c r="C69" s="24">
        <v>17850</v>
      </c>
      <c r="D69" s="25">
        <f>D68-B69+C69</f>
        <v>18275</v>
      </c>
      <c r="E69" s="25">
        <f>(D68+C69+D69)/2</f>
        <v>18584.523809523809</v>
      </c>
      <c r="F69" s="24">
        <v>1</v>
      </c>
      <c r="G69" s="24">
        <v>2</v>
      </c>
    </row>
    <row r="70" spans="1:8" x14ac:dyDescent="0.35">
      <c r="A70" s="5" t="s">
        <v>173</v>
      </c>
      <c r="E70" s="22">
        <f>E68*G68/G70+E69*G69/G70</f>
        <v>7991.1904761904752</v>
      </c>
      <c r="F70" s="5">
        <v>21</v>
      </c>
      <c r="G70" s="5">
        <v>30</v>
      </c>
      <c r="H70">
        <f>E70*G70</f>
        <v>239735.71428571426</v>
      </c>
    </row>
    <row r="71" spans="1:8" x14ac:dyDescent="0.35">
      <c r="A71" s="24" t="s">
        <v>177</v>
      </c>
      <c r="B71" s="25">
        <f>6775*F71/F73</f>
        <v>5081.25</v>
      </c>
      <c r="C71" s="24">
        <v>0</v>
      </c>
      <c r="D71" s="25">
        <f>D69-B71+C71</f>
        <v>13193.75</v>
      </c>
      <c r="E71" s="25">
        <f>D69*1/24+((D69+C71+D71)/2)*23/24</f>
        <v>15840.234375</v>
      </c>
      <c r="F71" s="24">
        <v>15</v>
      </c>
      <c r="G71" s="24">
        <v>24</v>
      </c>
    </row>
    <row r="72" spans="1:8" x14ac:dyDescent="0.35">
      <c r="A72" s="24" t="s">
        <v>178</v>
      </c>
      <c r="B72" s="25">
        <f>6775*F72/F73</f>
        <v>1693.75</v>
      </c>
      <c r="C72" s="24">
        <v>11700</v>
      </c>
      <c r="D72" s="25">
        <f>D71-B72+C72</f>
        <v>23200</v>
      </c>
      <c r="E72" s="25">
        <f>(D71+C72+D72)/2</f>
        <v>24046.875</v>
      </c>
      <c r="F72" s="24">
        <v>5</v>
      </c>
      <c r="G72" s="24">
        <v>7</v>
      </c>
    </row>
    <row r="73" spans="1:8" x14ac:dyDescent="0.35">
      <c r="A73" s="5" t="s">
        <v>174</v>
      </c>
      <c r="E73" s="22">
        <f>E71*G71/G73+E72*G72/G73</f>
        <v>17693.346774193549</v>
      </c>
      <c r="F73" s="5">
        <v>20</v>
      </c>
      <c r="G73" s="5">
        <v>31</v>
      </c>
      <c r="H73">
        <f>E73*G73</f>
        <v>548493.75</v>
      </c>
    </row>
    <row r="74" spans="1:8" x14ac:dyDescent="0.35">
      <c r="A74" s="5" t="s">
        <v>179</v>
      </c>
      <c r="B74">
        <v>3400</v>
      </c>
      <c r="C74" s="54">
        <v>0</v>
      </c>
      <c r="D74" s="6">
        <f>D72-B74+C74</f>
        <v>19800</v>
      </c>
      <c r="E74" s="5">
        <f>(D72+C74-B74)/2</f>
        <v>9900</v>
      </c>
      <c r="F74" s="5">
        <v>23</v>
      </c>
      <c r="G74" s="5">
        <v>31</v>
      </c>
      <c r="H74">
        <f>E74*G74</f>
        <v>306900</v>
      </c>
    </row>
    <row r="75" spans="1:8" x14ac:dyDescent="0.35">
      <c r="A75" s="24" t="s">
        <v>181</v>
      </c>
      <c r="B75" s="25">
        <f>6750*F75/F78</f>
        <v>355.26315789473682</v>
      </c>
      <c r="C75" s="24">
        <v>0</v>
      </c>
      <c r="D75" s="25">
        <f>D74-B75+C75</f>
        <v>19444.736842105263</v>
      </c>
      <c r="E75" s="25">
        <f>D74*2/3+D75*1/3</f>
        <v>19681.57894736842</v>
      </c>
      <c r="F75" s="24">
        <v>1</v>
      </c>
      <c r="G75" s="24">
        <v>3</v>
      </c>
    </row>
    <row r="76" spans="1:8" x14ac:dyDescent="0.35">
      <c r="A76" s="24" t="s">
        <v>200</v>
      </c>
      <c r="B76" s="25">
        <f>6750*F76/F78</f>
        <v>5684.2105263157891</v>
      </c>
      <c r="C76" s="24">
        <v>8400</v>
      </c>
      <c r="D76" s="25">
        <f>D75-B76+C76</f>
        <v>22160.526315789473</v>
      </c>
      <c r="E76" s="25">
        <f>(D75+C76+D76)/2</f>
        <v>25002.631578947367</v>
      </c>
      <c r="F76" s="24">
        <v>16</v>
      </c>
      <c r="G76" s="24">
        <v>22</v>
      </c>
    </row>
    <row r="77" spans="1:8" x14ac:dyDescent="0.35">
      <c r="A77" s="24" t="s">
        <v>199</v>
      </c>
      <c r="B77" s="25">
        <f>6750*F77/F78</f>
        <v>710.52631578947364</v>
      </c>
      <c r="C77" s="24">
        <v>4200</v>
      </c>
      <c r="D77" s="25">
        <f>D76-B77+C77</f>
        <v>25650</v>
      </c>
      <c r="E77" s="25">
        <f>(D76+C77+D77)/2</f>
        <v>26005.263157894737</v>
      </c>
      <c r="F77" s="24">
        <v>2</v>
      </c>
      <c r="G77" s="24">
        <v>5</v>
      </c>
    </row>
    <row r="78" spans="1:8" x14ac:dyDescent="0.35">
      <c r="A78" s="5" t="s">
        <v>182</v>
      </c>
      <c r="E78" s="22">
        <f>E75*G75/G78+E76*G76/G78+E77*G77/G78</f>
        <v>24637.631578947367</v>
      </c>
      <c r="F78" s="5">
        <v>19</v>
      </c>
      <c r="G78" s="5">
        <v>30</v>
      </c>
      <c r="H78">
        <f>E78*G78</f>
        <v>739128.94736842101</v>
      </c>
    </row>
    <row r="79" spans="1:8" x14ac:dyDescent="0.35">
      <c r="A79" s="24" t="s">
        <v>183</v>
      </c>
      <c r="B79" s="25">
        <f>14500*F79/F81</f>
        <v>11978.260869565218</v>
      </c>
      <c r="C79" s="24">
        <v>0</v>
      </c>
      <c r="D79" s="25">
        <f>D77-B79+C79</f>
        <v>13671.739130434782</v>
      </c>
      <c r="E79" s="25">
        <f>(D77+C79+D79)/2</f>
        <v>19660.869565217392</v>
      </c>
      <c r="F79" s="24">
        <v>19</v>
      </c>
      <c r="G79" s="24">
        <v>25</v>
      </c>
    </row>
    <row r="80" spans="1:8" x14ac:dyDescent="0.35">
      <c r="A80" s="26" t="s">
        <v>184</v>
      </c>
      <c r="B80" s="25">
        <f>14500*F80/F81</f>
        <v>2521.7391304347825</v>
      </c>
      <c r="C80" s="24">
        <v>7350</v>
      </c>
      <c r="D80" s="25">
        <f>D79-B80+C80</f>
        <v>18500</v>
      </c>
      <c r="E80" s="25">
        <f>(D79+C80+D80)/2</f>
        <v>19760.869565217392</v>
      </c>
      <c r="F80" s="24">
        <v>4</v>
      </c>
      <c r="G80" s="24">
        <v>6</v>
      </c>
    </row>
    <row r="81" spans="1:10" x14ac:dyDescent="0.35">
      <c r="A81" s="5" t="s">
        <v>187</v>
      </c>
      <c r="E81" s="22">
        <f>E79*G79/G81+E80*G80/G81</f>
        <v>19680.22440392707</v>
      </c>
      <c r="F81" s="5">
        <v>23</v>
      </c>
      <c r="G81" s="5">
        <v>31</v>
      </c>
      <c r="H81">
        <f>E81*G81</f>
        <v>610086.95652173914</v>
      </c>
    </row>
    <row r="82" spans="1:10" x14ac:dyDescent="0.35">
      <c r="A82" s="24" t="s">
        <v>185</v>
      </c>
      <c r="B82" s="25">
        <f>9025*F82/F84</f>
        <v>2051.1363636363635</v>
      </c>
      <c r="C82" s="24">
        <v>0</v>
      </c>
      <c r="D82" s="25">
        <f>D80-B82+C82</f>
        <v>16448.863636363636</v>
      </c>
      <c r="E82" s="25">
        <f>(D80+C82+D82)/2</f>
        <v>17474.431818181816</v>
      </c>
      <c r="F82" s="24">
        <v>5</v>
      </c>
      <c r="G82" s="24">
        <v>7</v>
      </c>
    </row>
    <row r="83" spans="1:10" x14ac:dyDescent="0.35">
      <c r="A83" s="48" t="s">
        <v>201</v>
      </c>
      <c r="B83" s="25">
        <f>9025*F83/F84</f>
        <v>6973.863636363636</v>
      </c>
      <c r="C83" s="24">
        <v>5250</v>
      </c>
      <c r="D83" s="25">
        <f>D82-B83+C83</f>
        <v>14725</v>
      </c>
      <c r="E83" s="25">
        <f>(D82+C83+D83)/2</f>
        <v>18211.931818181816</v>
      </c>
      <c r="F83" s="24">
        <v>17</v>
      </c>
      <c r="G83" s="24">
        <v>23</v>
      </c>
    </row>
    <row r="84" spans="1:10" x14ac:dyDescent="0.35">
      <c r="A84" s="5" t="s">
        <v>186</v>
      </c>
      <c r="E84" s="22">
        <f>E82*G82/G84+E83*G83/G84</f>
        <v>18039.84848484848</v>
      </c>
      <c r="F84" s="5">
        <v>22</v>
      </c>
      <c r="G84" s="5">
        <f>SUM(G82:G83)</f>
        <v>30</v>
      </c>
      <c r="H84">
        <f>E84*G84</f>
        <v>541195.45454545435</v>
      </c>
    </row>
    <row r="85" spans="1:10" x14ac:dyDescent="0.35">
      <c r="A85" s="24" t="s">
        <v>202</v>
      </c>
      <c r="B85" s="25">
        <f>14550*F85/F87</f>
        <v>8891.6666666666661</v>
      </c>
      <c r="C85" s="24">
        <v>0</v>
      </c>
      <c r="D85" s="25">
        <f>D83-B85+C85</f>
        <v>5833.3333333333339</v>
      </c>
      <c r="E85" s="25">
        <f>D83*2/17+((D83+C85+D85)/2)*15/17</f>
        <v>10802.205882352942</v>
      </c>
      <c r="F85" s="24">
        <v>11</v>
      </c>
      <c r="G85" s="24">
        <v>17</v>
      </c>
    </row>
    <row r="86" spans="1:10" x14ac:dyDescent="0.35">
      <c r="A86" s="26" t="s">
        <v>203</v>
      </c>
      <c r="B86" s="25">
        <f>14550*F86/F87</f>
        <v>5658.333333333333</v>
      </c>
      <c r="C86" s="24">
        <v>15750</v>
      </c>
      <c r="D86" s="25">
        <f>D85-B86+C86</f>
        <v>15925</v>
      </c>
      <c r="E86" s="25">
        <f>(D85+C86+D86)/2</f>
        <v>18754.166666666668</v>
      </c>
      <c r="F86" s="24">
        <v>7</v>
      </c>
      <c r="G86" s="24">
        <v>14</v>
      </c>
    </row>
    <row r="87" spans="1:10" x14ac:dyDescent="0.35">
      <c r="A87" s="5" t="s">
        <v>190</v>
      </c>
      <c r="E87" s="22">
        <f>E85*G85/G87+E86*G86/G87</f>
        <v>14393.413978494626</v>
      </c>
      <c r="F87" s="5">
        <v>18</v>
      </c>
      <c r="G87" s="5">
        <v>31</v>
      </c>
      <c r="H87">
        <f>E87*G87</f>
        <v>446195.83333333337</v>
      </c>
      <c r="J87" s="23" t="s">
        <v>136</v>
      </c>
    </row>
    <row r="88" spans="1:10" x14ac:dyDescent="0.35">
      <c r="A88" s="70" t="s">
        <v>135</v>
      </c>
      <c r="B88" s="70"/>
      <c r="C88" s="70"/>
      <c r="D88" s="70"/>
      <c r="E88" s="70"/>
      <c r="F88" s="70"/>
      <c r="G88" s="70"/>
      <c r="H88" s="29">
        <f>SUM(H64:H87)/365</f>
        <v>11820.266768055824</v>
      </c>
      <c r="J88" s="6">
        <f>H88*4.09*0.8498</f>
        <v>41083.488440929796</v>
      </c>
    </row>
    <row r="90" spans="1:10" x14ac:dyDescent="0.35">
      <c r="D90" s="80" t="s">
        <v>191</v>
      </c>
      <c r="E90" s="80"/>
    </row>
    <row r="91" spans="1:10" x14ac:dyDescent="0.35">
      <c r="A91" s="68" t="s">
        <v>139</v>
      </c>
      <c r="B91" s="68"/>
      <c r="C91" s="68"/>
      <c r="D91" s="68"/>
      <c r="E91" s="68"/>
      <c r="F91" s="68"/>
      <c r="G91" s="68"/>
      <c r="H91" s="68"/>
    </row>
    <row r="92" spans="1:10" x14ac:dyDescent="0.35">
      <c r="A92" t="s">
        <v>14</v>
      </c>
      <c r="B92" t="s">
        <v>141</v>
      </c>
      <c r="C92" t="s">
        <v>50</v>
      </c>
      <c r="D92" t="s">
        <v>143</v>
      </c>
      <c r="E92" t="s">
        <v>109</v>
      </c>
      <c r="F92" s="32" t="s">
        <v>110</v>
      </c>
      <c r="G92" s="24" t="s">
        <v>140</v>
      </c>
      <c r="H92" t="s">
        <v>111</v>
      </c>
    </row>
    <row r="93" spans="1:10" x14ac:dyDescent="0.35">
      <c r="A93" t="s">
        <v>1</v>
      </c>
      <c r="B93">
        <v>0</v>
      </c>
      <c r="C93">
        <v>0</v>
      </c>
      <c r="D93">
        <v>4698</v>
      </c>
      <c r="E93">
        <v>4698</v>
      </c>
      <c r="F93" s="32">
        <v>31</v>
      </c>
      <c r="G93" s="24">
        <f>4100.51084849091-D93</f>
        <v>-597.48915150909033</v>
      </c>
      <c r="H93">
        <f>E93*F93</f>
        <v>145638</v>
      </c>
    </row>
    <row r="94" spans="1:10" x14ac:dyDescent="0.35">
      <c r="A94" t="s">
        <v>2</v>
      </c>
      <c r="B94">
        <v>0</v>
      </c>
      <c r="C94">
        <v>0</v>
      </c>
      <c r="D94">
        <v>4698</v>
      </c>
      <c r="E94">
        <v>4698</v>
      </c>
      <c r="F94" s="32">
        <v>28</v>
      </c>
      <c r="G94" s="24">
        <f>4100.51084849091-D94</f>
        <v>-597.48915150909033</v>
      </c>
      <c r="H94">
        <f t="shared" ref="H94:H104" si="1">E94*F94</f>
        <v>131544</v>
      </c>
    </row>
    <row r="95" spans="1:10" x14ac:dyDescent="0.35">
      <c r="A95" t="s">
        <v>3</v>
      </c>
      <c r="B95">
        <v>1100</v>
      </c>
      <c r="C95">
        <v>0</v>
      </c>
      <c r="D95">
        <f>D94+C95-B95</f>
        <v>3598</v>
      </c>
      <c r="E95" s="6">
        <f>(D94+D95)/2</f>
        <v>4148</v>
      </c>
      <c r="F95" s="32">
        <v>31</v>
      </c>
      <c r="G95" s="24">
        <f>4100.51084849091-D95</f>
        <v>502.51084849090967</v>
      </c>
      <c r="H95">
        <f t="shared" si="1"/>
        <v>128588</v>
      </c>
    </row>
    <row r="96" spans="1:10" x14ac:dyDescent="0.35">
      <c r="A96" t="s">
        <v>4</v>
      </c>
      <c r="B96">
        <v>1760</v>
      </c>
      <c r="C96" s="34">
        <v>550</v>
      </c>
      <c r="D96">
        <f>D95+C96-B96</f>
        <v>2388</v>
      </c>
      <c r="E96" s="6">
        <f>D95*1/30+((D95+C96+D96)/2)*29/30</f>
        <v>3279</v>
      </c>
      <c r="F96" s="32">
        <v>30</v>
      </c>
      <c r="G96" s="24">
        <f t="shared" ref="G96:G102" si="2">4100.51084849091-D96</f>
        <v>1712.5108484909097</v>
      </c>
      <c r="H96">
        <f t="shared" si="1"/>
        <v>98370</v>
      </c>
    </row>
    <row r="97" spans="1:12" x14ac:dyDescent="0.35">
      <c r="A97" t="s">
        <v>5</v>
      </c>
      <c r="B97">
        <v>1815</v>
      </c>
      <c r="C97">
        <v>1760</v>
      </c>
      <c r="D97">
        <f>D96+C97-B97</f>
        <v>2333</v>
      </c>
      <c r="E97" s="6">
        <f>D96*1/31+((D96+C97+D97)/2)*30/31</f>
        <v>3213</v>
      </c>
      <c r="F97" s="32">
        <v>31</v>
      </c>
      <c r="G97" s="24">
        <f t="shared" si="2"/>
        <v>1767.5108484909097</v>
      </c>
      <c r="H97">
        <f t="shared" si="1"/>
        <v>99603</v>
      </c>
    </row>
    <row r="98" spans="1:12" x14ac:dyDescent="0.35">
      <c r="A98" t="s">
        <v>6</v>
      </c>
      <c r="B98">
        <v>2860</v>
      </c>
      <c r="C98">
        <v>1815</v>
      </c>
      <c r="D98">
        <f>D97+C98-B98</f>
        <v>1288</v>
      </c>
      <c r="E98" s="6">
        <f>(D97+C98+D98)/2</f>
        <v>2718</v>
      </c>
      <c r="F98" s="32">
        <v>30</v>
      </c>
      <c r="G98" s="24">
        <f t="shared" si="2"/>
        <v>2812.5108484909097</v>
      </c>
      <c r="H98">
        <f t="shared" si="1"/>
        <v>81540</v>
      </c>
    </row>
    <row r="99" spans="1:12" x14ac:dyDescent="0.35">
      <c r="A99" t="s">
        <v>7</v>
      </c>
      <c r="B99">
        <v>1540</v>
      </c>
      <c r="C99">
        <v>2860</v>
      </c>
      <c r="D99">
        <f t="shared" ref="D99:D104" si="3">D98+C99-B99</f>
        <v>2608</v>
      </c>
      <c r="E99" s="6">
        <f>D98*1/31+((D98+C99+D99)/2)*30/31</f>
        <v>3310.5806451612902</v>
      </c>
      <c r="F99" s="32">
        <v>31</v>
      </c>
      <c r="G99" s="24">
        <f t="shared" si="2"/>
        <v>1492.5108484909097</v>
      </c>
      <c r="H99">
        <f t="shared" si="1"/>
        <v>102628</v>
      </c>
    </row>
    <row r="100" spans="1:12" x14ac:dyDescent="0.35">
      <c r="A100" t="s">
        <v>8</v>
      </c>
      <c r="B100">
        <v>880</v>
      </c>
      <c r="C100" s="34">
        <v>1540</v>
      </c>
      <c r="D100">
        <f t="shared" si="3"/>
        <v>3268</v>
      </c>
      <c r="E100" s="6">
        <f>(D99+C100+D100)/2</f>
        <v>3708</v>
      </c>
      <c r="F100" s="32">
        <v>31</v>
      </c>
      <c r="G100" s="24">
        <f t="shared" si="2"/>
        <v>832.51084849090967</v>
      </c>
      <c r="H100">
        <f t="shared" si="1"/>
        <v>114948</v>
      </c>
    </row>
    <row r="101" spans="1:12" x14ac:dyDescent="0.35">
      <c r="A101" t="s">
        <v>9</v>
      </c>
      <c r="B101">
        <v>1815</v>
      </c>
      <c r="C101" s="34">
        <v>880</v>
      </c>
      <c r="D101">
        <f t="shared" si="3"/>
        <v>2333</v>
      </c>
      <c r="E101" s="6">
        <f>D100*2/30+((D100+C101+D101)/2)*28/30</f>
        <v>3242.3333333333335</v>
      </c>
      <c r="F101" s="32">
        <v>30</v>
      </c>
      <c r="G101" s="24">
        <f t="shared" si="2"/>
        <v>1767.5108484909097</v>
      </c>
      <c r="H101">
        <f t="shared" si="1"/>
        <v>97270</v>
      </c>
    </row>
    <row r="102" spans="1:12" x14ac:dyDescent="0.35">
      <c r="A102" t="s">
        <v>10</v>
      </c>
      <c r="B102">
        <v>3080</v>
      </c>
      <c r="C102">
        <v>1815</v>
      </c>
      <c r="D102">
        <f t="shared" si="3"/>
        <v>1068</v>
      </c>
      <c r="E102" s="6">
        <f t="shared" ref="E102:E103" si="4">(D101+C102+D102)/2</f>
        <v>2608</v>
      </c>
      <c r="F102" s="33">
        <v>31</v>
      </c>
      <c r="G102" s="24">
        <f t="shared" si="2"/>
        <v>3032.5108484909097</v>
      </c>
      <c r="H102">
        <f t="shared" si="1"/>
        <v>80848</v>
      </c>
    </row>
    <row r="103" spans="1:12" x14ac:dyDescent="0.35">
      <c r="A103" t="s">
        <v>11</v>
      </c>
      <c r="B103">
        <v>2310</v>
      </c>
      <c r="C103">
        <v>3080</v>
      </c>
      <c r="D103">
        <f t="shared" si="3"/>
        <v>1838</v>
      </c>
      <c r="E103" s="6">
        <f t="shared" si="4"/>
        <v>2993</v>
      </c>
      <c r="F103" s="32">
        <v>30</v>
      </c>
      <c r="G103" s="24">
        <f>4100.51084849091-D103</f>
        <v>2262.5108484909097</v>
      </c>
      <c r="H103">
        <f t="shared" si="1"/>
        <v>89790</v>
      </c>
    </row>
    <row r="104" spans="1:12" x14ac:dyDescent="0.35">
      <c r="A104" t="s">
        <v>12</v>
      </c>
      <c r="B104">
        <v>3630</v>
      </c>
      <c r="C104">
        <v>2310</v>
      </c>
      <c r="D104">
        <f t="shared" si="3"/>
        <v>518</v>
      </c>
      <c r="E104" s="6">
        <f>D103*2/31+((D103+C104+D104)/2)*29/31</f>
        <v>2301.0645161290322</v>
      </c>
      <c r="F104" s="32">
        <v>31</v>
      </c>
      <c r="G104" s="24"/>
      <c r="H104">
        <f t="shared" si="1"/>
        <v>71333</v>
      </c>
      <c r="J104" s="23" t="s">
        <v>136</v>
      </c>
      <c r="K104" s="23"/>
      <c r="L104" s="23"/>
    </row>
    <row r="105" spans="1:12" x14ac:dyDescent="0.35">
      <c r="A105" s="69" t="s">
        <v>135</v>
      </c>
      <c r="B105" s="69"/>
      <c r="C105" s="69"/>
      <c r="D105" s="69"/>
      <c r="E105" s="69"/>
      <c r="F105" s="69"/>
      <c r="G105" s="69"/>
      <c r="H105" s="29">
        <f>SUM(H93:H104)/365</f>
        <v>3403.0136986301368</v>
      </c>
      <c r="J105" s="6">
        <f>H105*12.75*0.8498</f>
        <v>36871.483273972597</v>
      </c>
      <c r="L105" s="61"/>
    </row>
    <row r="107" spans="1:12" x14ac:dyDescent="0.35">
      <c r="A107" s="68" t="s">
        <v>144</v>
      </c>
      <c r="B107" s="68"/>
      <c r="C107" s="68"/>
      <c r="D107" s="68"/>
      <c r="E107" s="68"/>
      <c r="F107" s="68"/>
      <c r="G107" s="68"/>
      <c r="H107" s="68"/>
    </row>
    <row r="108" spans="1:12" x14ac:dyDescent="0.35">
      <c r="A108" t="s">
        <v>14</v>
      </c>
      <c r="B108" t="s">
        <v>141</v>
      </c>
      <c r="C108" t="s">
        <v>50</v>
      </c>
      <c r="D108" t="s">
        <v>143</v>
      </c>
      <c r="E108" t="s">
        <v>109</v>
      </c>
      <c r="F108" s="32" t="s">
        <v>110</v>
      </c>
      <c r="G108" s="24" t="s">
        <v>140</v>
      </c>
      <c r="H108" t="s">
        <v>111</v>
      </c>
    </row>
    <row r="109" spans="1:12" x14ac:dyDescent="0.35">
      <c r="A109" t="s">
        <v>1</v>
      </c>
      <c r="B109">
        <v>0</v>
      </c>
      <c r="C109">
        <v>0</v>
      </c>
      <c r="D109">
        <v>4698</v>
      </c>
      <c r="E109">
        <v>4698</v>
      </c>
      <c r="F109" s="32">
        <v>31</v>
      </c>
      <c r="G109" s="24">
        <f>3455.99165005999-D109</f>
        <v>-1242.0083499400098</v>
      </c>
      <c r="H109">
        <f>E109*F109</f>
        <v>145638</v>
      </c>
    </row>
    <row r="110" spans="1:12" x14ac:dyDescent="0.35">
      <c r="A110" t="s">
        <v>2</v>
      </c>
      <c r="B110">
        <v>0</v>
      </c>
      <c r="C110">
        <v>0</v>
      </c>
      <c r="D110">
        <v>4698</v>
      </c>
      <c r="E110">
        <v>4698</v>
      </c>
      <c r="F110" s="32">
        <v>28</v>
      </c>
      <c r="G110" s="24">
        <f t="shared" ref="G110:G119" si="5">3455.99165005999-D110</f>
        <v>-1242.0083499400098</v>
      </c>
      <c r="H110">
        <f t="shared" ref="H110:H120" si="6">E110*F110</f>
        <v>131544</v>
      </c>
    </row>
    <row r="111" spans="1:12" x14ac:dyDescent="0.35">
      <c r="A111" t="s">
        <v>3</v>
      </c>
      <c r="B111">
        <v>1100</v>
      </c>
      <c r="C111">
        <v>0</v>
      </c>
      <c r="D111">
        <f>D110+C111-B111</f>
        <v>3598</v>
      </c>
      <c r="E111" s="6">
        <f>(D110+D111)/2</f>
        <v>4148</v>
      </c>
      <c r="F111" s="32">
        <v>31</v>
      </c>
      <c r="G111" s="24">
        <f t="shared" si="5"/>
        <v>-142.00834994000979</v>
      </c>
      <c r="H111">
        <f t="shared" si="6"/>
        <v>128588</v>
      </c>
    </row>
    <row r="112" spans="1:12" x14ac:dyDescent="0.35">
      <c r="A112" t="s">
        <v>4</v>
      </c>
      <c r="B112">
        <v>1760</v>
      </c>
      <c r="C112">
        <v>0</v>
      </c>
      <c r="D112">
        <f>D111+C112-B112</f>
        <v>1838</v>
      </c>
      <c r="E112" s="6">
        <f>D111*1/30+((D111+C112+D112)/2)*29/30</f>
        <v>2747.3333333333335</v>
      </c>
      <c r="F112" s="32">
        <v>30</v>
      </c>
      <c r="G112" s="24">
        <f t="shared" si="5"/>
        <v>1617.9916500599902</v>
      </c>
      <c r="H112">
        <f t="shared" si="6"/>
        <v>82420</v>
      </c>
    </row>
    <row r="113" spans="1:12" x14ac:dyDescent="0.35">
      <c r="A113" t="s">
        <v>5</v>
      </c>
      <c r="B113">
        <v>1815</v>
      </c>
      <c r="C113">
        <v>1630</v>
      </c>
      <c r="D113">
        <f>D112+C113-B113</f>
        <v>1653</v>
      </c>
      <c r="E113" s="6">
        <f>D112*1/31+((D112+C113+D113)/2)*30/31</f>
        <v>2537.1935483870971</v>
      </c>
      <c r="F113" s="32">
        <v>31</v>
      </c>
      <c r="G113" s="24">
        <f t="shared" si="5"/>
        <v>1802.9916500599902</v>
      </c>
      <c r="H113">
        <f t="shared" si="6"/>
        <v>78653.000000000015</v>
      </c>
    </row>
    <row r="114" spans="1:12" x14ac:dyDescent="0.35">
      <c r="A114" t="s">
        <v>6</v>
      </c>
      <c r="B114">
        <v>2860</v>
      </c>
      <c r="C114">
        <v>1815</v>
      </c>
      <c r="D114">
        <f>D113+C114-B114</f>
        <v>608</v>
      </c>
      <c r="E114" s="6">
        <f>(D113+C114+D114)/2</f>
        <v>2038</v>
      </c>
      <c r="F114" s="32">
        <v>30</v>
      </c>
      <c r="G114" s="24">
        <f t="shared" si="5"/>
        <v>2847.9916500599902</v>
      </c>
      <c r="H114">
        <f t="shared" si="6"/>
        <v>61140</v>
      </c>
    </row>
    <row r="115" spans="1:12" x14ac:dyDescent="0.35">
      <c r="A115" t="s">
        <v>7</v>
      </c>
      <c r="B115">
        <v>1540</v>
      </c>
      <c r="C115">
        <v>2860</v>
      </c>
      <c r="D115">
        <f t="shared" ref="D115:D119" si="7">D114+C115-B115</f>
        <v>1928</v>
      </c>
      <c r="E115" s="6">
        <f>D114*1/31+((D114+C115+D115)/2)*30/31</f>
        <v>2630.5806451612902</v>
      </c>
      <c r="F115" s="32">
        <v>31</v>
      </c>
      <c r="G115" s="24">
        <f t="shared" si="5"/>
        <v>1527.9916500599902</v>
      </c>
      <c r="H115">
        <f t="shared" si="6"/>
        <v>81548</v>
      </c>
    </row>
    <row r="116" spans="1:12" x14ac:dyDescent="0.35">
      <c r="A116" t="s">
        <v>8</v>
      </c>
      <c r="B116">
        <v>880</v>
      </c>
      <c r="C116" s="34">
        <v>1540</v>
      </c>
      <c r="D116">
        <f t="shared" si="7"/>
        <v>2588</v>
      </c>
      <c r="E116" s="6">
        <f>(D115+C116+D116)/2</f>
        <v>3028</v>
      </c>
      <c r="F116" s="32">
        <v>31</v>
      </c>
      <c r="G116" s="24">
        <f t="shared" si="5"/>
        <v>867.99165005999021</v>
      </c>
      <c r="H116">
        <f t="shared" si="6"/>
        <v>93868</v>
      </c>
    </row>
    <row r="117" spans="1:12" x14ac:dyDescent="0.35">
      <c r="A117" t="s">
        <v>9</v>
      </c>
      <c r="B117">
        <v>1815</v>
      </c>
      <c r="C117" s="34">
        <v>880</v>
      </c>
      <c r="D117">
        <f t="shared" si="7"/>
        <v>1653</v>
      </c>
      <c r="E117" s="6">
        <f>D116*2/30+((D116+C117+D117)/2)*28/30</f>
        <v>2562.3333333333335</v>
      </c>
      <c r="F117" s="32">
        <v>30</v>
      </c>
      <c r="G117" s="24">
        <f t="shared" si="5"/>
        <v>1802.9916500599902</v>
      </c>
      <c r="H117">
        <f t="shared" si="6"/>
        <v>76870</v>
      </c>
    </row>
    <row r="118" spans="1:12" x14ac:dyDescent="0.35">
      <c r="A118" t="s">
        <v>10</v>
      </c>
      <c r="B118">
        <v>3080</v>
      </c>
      <c r="C118">
        <v>1815</v>
      </c>
      <c r="D118">
        <f t="shared" si="7"/>
        <v>388</v>
      </c>
      <c r="E118" s="6">
        <f t="shared" ref="E118:E119" si="8">(D117+C118+D118)/2</f>
        <v>1928</v>
      </c>
      <c r="F118" s="33">
        <v>31</v>
      </c>
      <c r="G118" s="24">
        <f t="shared" si="5"/>
        <v>3067.9916500599902</v>
      </c>
      <c r="H118">
        <f t="shared" si="6"/>
        <v>59768</v>
      </c>
    </row>
    <row r="119" spans="1:12" x14ac:dyDescent="0.35">
      <c r="A119" t="s">
        <v>11</v>
      </c>
      <c r="B119">
        <v>2310</v>
      </c>
      <c r="C119">
        <v>3080</v>
      </c>
      <c r="D119">
        <f t="shared" si="7"/>
        <v>1158</v>
      </c>
      <c r="E119" s="6">
        <f t="shared" si="8"/>
        <v>2313</v>
      </c>
      <c r="F119" s="32">
        <v>30</v>
      </c>
      <c r="G119" s="24">
        <f t="shared" si="5"/>
        <v>2297.9916500599902</v>
      </c>
      <c r="H119">
        <f t="shared" si="6"/>
        <v>69390</v>
      </c>
    </row>
    <row r="120" spans="1:12" x14ac:dyDescent="0.35">
      <c r="A120" t="s">
        <v>12</v>
      </c>
      <c r="B120">
        <v>3630</v>
      </c>
      <c r="C120">
        <v>2310</v>
      </c>
      <c r="D120" s="34">
        <f>D119+C120-B120</f>
        <v>-162</v>
      </c>
      <c r="E120" s="6">
        <f>D119*2/31+((D119+C120+D120)/2)*29/31</f>
        <v>1621.0645161290322</v>
      </c>
      <c r="F120" s="32">
        <v>31</v>
      </c>
      <c r="G120" s="24"/>
      <c r="H120">
        <f t="shared" si="6"/>
        <v>50253</v>
      </c>
      <c r="J120" s="23" t="s">
        <v>136</v>
      </c>
      <c r="K120" s="23"/>
      <c r="L120" s="23"/>
    </row>
    <row r="121" spans="1:12" x14ac:dyDescent="0.35">
      <c r="A121" s="69" t="s">
        <v>135</v>
      </c>
      <c r="B121" s="69"/>
      <c r="C121" s="69"/>
      <c r="D121" s="69"/>
      <c r="E121" s="69"/>
      <c r="F121" s="69"/>
      <c r="G121" s="69"/>
      <c r="H121" s="29">
        <f>SUM(H109:H120)/365</f>
        <v>2903.2328767123286</v>
      </c>
      <c r="J121" s="6">
        <f>H121*12.75*0.8498</f>
        <v>31456.383057534244</v>
      </c>
      <c r="L121" s="61"/>
    </row>
    <row r="123" spans="1:12" x14ac:dyDescent="0.35">
      <c r="A123" s="68" t="s">
        <v>145</v>
      </c>
      <c r="B123" s="68"/>
      <c r="C123" s="68"/>
      <c r="D123" s="68"/>
      <c r="E123" s="68"/>
      <c r="F123" s="68"/>
      <c r="G123" s="68"/>
      <c r="H123" s="68"/>
    </row>
    <row r="124" spans="1:12" x14ac:dyDescent="0.35">
      <c r="A124" t="s">
        <v>14</v>
      </c>
      <c r="B124" t="s">
        <v>141</v>
      </c>
      <c r="C124" t="s">
        <v>50</v>
      </c>
      <c r="D124" t="s">
        <v>143</v>
      </c>
      <c r="E124" t="s">
        <v>109</v>
      </c>
      <c r="F124" s="32" t="s">
        <v>110</v>
      </c>
      <c r="G124" s="24" t="s">
        <v>140</v>
      </c>
      <c r="H124" t="s">
        <v>111</v>
      </c>
    </row>
    <row r="125" spans="1:12" x14ac:dyDescent="0.35">
      <c r="A125" t="s">
        <v>1</v>
      </c>
      <c r="B125">
        <v>0</v>
      </c>
      <c r="C125">
        <v>0</v>
      </c>
      <c r="D125">
        <v>4698</v>
      </c>
      <c r="E125">
        <v>4698</v>
      </c>
      <c r="F125" s="32">
        <v>31</v>
      </c>
      <c r="G125" s="24">
        <f>3112.40085027508-D125</f>
        <v>-1585.5991497249202</v>
      </c>
      <c r="H125">
        <f>E125*F125</f>
        <v>145638</v>
      </c>
    </row>
    <row r="126" spans="1:12" x14ac:dyDescent="0.35">
      <c r="A126" t="s">
        <v>2</v>
      </c>
      <c r="B126">
        <v>0</v>
      </c>
      <c r="C126">
        <v>0</v>
      </c>
      <c r="D126">
        <v>4698</v>
      </c>
      <c r="E126">
        <v>4698</v>
      </c>
      <c r="F126" s="32">
        <v>28</v>
      </c>
      <c r="G126" s="24">
        <f t="shared" ref="G126:G135" si="9">3112.40085027508-D126</f>
        <v>-1585.5991497249202</v>
      </c>
      <c r="H126">
        <f t="shared" ref="H126:H136" si="10">E126*F126</f>
        <v>131544</v>
      </c>
    </row>
    <row r="127" spans="1:12" x14ac:dyDescent="0.35">
      <c r="A127" t="s">
        <v>3</v>
      </c>
      <c r="B127">
        <v>1100</v>
      </c>
      <c r="C127">
        <v>0</v>
      </c>
      <c r="D127">
        <f>D126+C127-B127</f>
        <v>3598</v>
      </c>
      <c r="E127" s="6">
        <f>(D126+D127)/2</f>
        <v>4148</v>
      </c>
      <c r="F127" s="32">
        <v>31</v>
      </c>
      <c r="G127" s="24">
        <f t="shared" si="9"/>
        <v>-485.59914972492015</v>
      </c>
      <c r="H127">
        <f t="shared" si="10"/>
        <v>128588</v>
      </c>
    </row>
    <row r="128" spans="1:12" x14ac:dyDescent="0.35">
      <c r="A128" t="s">
        <v>4</v>
      </c>
      <c r="B128">
        <v>1760</v>
      </c>
      <c r="C128">
        <v>0</v>
      </c>
      <c r="D128">
        <f>D127+C128-B128</f>
        <v>1838</v>
      </c>
      <c r="E128" s="6">
        <f>D127*1/30+((D127+C128+D128)/2)*29/30</f>
        <v>2747.3333333333335</v>
      </c>
      <c r="F128" s="32">
        <v>30</v>
      </c>
      <c r="G128" s="24">
        <f t="shared" si="9"/>
        <v>1274.4008502750798</v>
      </c>
      <c r="H128">
        <f t="shared" si="10"/>
        <v>82420</v>
      </c>
    </row>
    <row r="129" spans="1:12" x14ac:dyDescent="0.35">
      <c r="A129" t="s">
        <v>5</v>
      </c>
      <c r="B129">
        <v>1815</v>
      </c>
      <c r="C129" s="34">
        <v>1320</v>
      </c>
      <c r="D129">
        <f>D128+C129-B129</f>
        <v>1343</v>
      </c>
      <c r="E129" s="6">
        <f>D128*1/31+((D128+C129+D129)/2)*30/31</f>
        <v>2237.1935483870971</v>
      </c>
      <c r="F129" s="32">
        <v>31</v>
      </c>
      <c r="G129" s="24">
        <f t="shared" si="9"/>
        <v>1769.4008502750798</v>
      </c>
      <c r="H129">
        <f t="shared" si="10"/>
        <v>69353.000000000015</v>
      </c>
    </row>
    <row r="130" spans="1:12" x14ac:dyDescent="0.35">
      <c r="A130" t="s">
        <v>6</v>
      </c>
      <c r="B130">
        <v>2860</v>
      </c>
      <c r="C130">
        <v>1815</v>
      </c>
      <c r="D130">
        <f>D129+C130-B130</f>
        <v>298</v>
      </c>
      <c r="E130" s="6">
        <f>(D129+C130+D130)/2</f>
        <v>1728</v>
      </c>
      <c r="F130" s="32">
        <v>30</v>
      </c>
      <c r="G130" s="24">
        <f t="shared" si="9"/>
        <v>2814.4008502750798</v>
      </c>
      <c r="H130">
        <f t="shared" si="10"/>
        <v>51840</v>
      </c>
    </row>
    <row r="131" spans="1:12" x14ac:dyDescent="0.35">
      <c r="A131" t="s">
        <v>7</v>
      </c>
      <c r="B131">
        <v>1540</v>
      </c>
      <c r="C131">
        <v>2860</v>
      </c>
      <c r="D131">
        <f t="shared" ref="D131:D136" si="11">D130+C131-B131</f>
        <v>1618</v>
      </c>
      <c r="E131" s="6">
        <f>D130*1/31+((D130+C131+D131)/2)*30/31</f>
        <v>2320.5806451612902</v>
      </c>
      <c r="F131" s="32">
        <v>31</v>
      </c>
      <c r="G131" s="24">
        <f t="shared" si="9"/>
        <v>1494.4008502750798</v>
      </c>
      <c r="H131">
        <f t="shared" si="10"/>
        <v>71938</v>
      </c>
    </row>
    <row r="132" spans="1:12" x14ac:dyDescent="0.35">
      <c r="A132" t="s">
        <v>8</v>
      </c>
      <c r="B132">
        <v>880</v>
      </c>
      <c r="C132" s="34">
        <v>1540</v>
      </c>
      <c r="D132">
        <f t="shared" si="11"/>
        <v>2278</v>
      </c>
      <c r="E132" s="6">
        <f>(D131+C132+D132)/2</f>
        <v>2718</v>
      </c>
      <c r="F132" s="32">
        <v>31</v>
      </c>
      <c r="G132" s="24">
        <f t="shared" si="9"/>
        <v>834.40085027507985</v>
      </c>
      <c r="H132">
        <f t="shared" si="10"/>
        <v>84258</v>
      </c>
    </row>
    <row r="133" spans="1:12" x14ac:dyDescent="0.35">
      <c r="A133" t="s">
        <v>9</v>
      </c>
      <c r="B133">
        <v>1815</v>
      </c>
      <c r="C133" s="34">
        <v>880</v>
      </c>
      <c r="D133">
        <f t="shared" si="11"/>
        <v>1343</v>
      </c>
      <c r="E133" s="6">
        <f>D132*2/30+((D132+C133+D133)/2)*28/30</f>
        <v>2252.3333333333335</v>
      </c>
      <c r="F133" s="32">
        <v>30</v>
      </c>
      <c r="G133" s="24">
        <f t="shared" si="9"/>
        <v>1769.4008502750798</v>
      </c>
      <c r="H133">
        <f t="shared" si="10"/>
        <v>67570</v>
      </c>
    </row>
    <row r="134" spans="1:12" x14ac:dyDescent="0.35">
      <c r="A134" t="s">
        <v>10</v>
      </c>
      <c r="B134">
        <v>3080</v>
      </c>
      <c r="C134">
        <v>1815</v>
      </c>
      <c r="D134">
        <f t="shared" si="11"/>
        <v>78</v>
      </c>
      <c r="E134" s="6">
        <f t="shared" ref="E134:E135" si="12">(D133+C134+D134)/2</f>
        <v>1618</v>
      </c>
      <c r="F134" s="33">
        <v>31</v>
      </c>
      <c r="G134" s="24">
        <f t="shared" si="9"/>
        <v>3034.4008502750798</v>
      </c>
      <c r="H134">
        <f t="shared" si="10"/>
        <v>50158</v>
      </c>
    </row>
    <row r="135" spans="1:12" x14ac:dyDescent="0.35">
      <c r="A135" t="s">
        <v>11</v>
      </c>
      <c r="B135">
        <v>2310</v>
      </c>
      <c r="C135">
        <v>3080</v>
      </c>
      <c r="D135">
        <f t="shared" si="11"/>
        <v>848</v>
      </c>
      <c r="E135" s="6">
        <f t="shared" si="12"/>
        <v>2003</v>
      </c>
      <c r="F135" s="32">
        <v>30</v>
      </c>
      <c r="G135" s="24">
        <f t="shared" si="9"/>
        <v>2264.4008502750798</v>
      </c>
      <c r="H135">
        <f t="shared" si="10"/>
        <v>60090</v>
      </c>
    </row>
    <row r="136" spans="1:12" x14ac:dyDescent="0.35">
      <c r="A136" t="s">
        <v>12</v>
      </c>
      <c r="B136">
        <v>3630</v>
      </c>
      <c r="C136">
        <v>2310</v>
      </c>
      <c r="D136" s="34">
        <f t="shared" si="11"/>
        <v>-472</v>
      </c>
      <c r="E136" s="6">
        <f>D135*2/31+((D135+C136+D136)/2)*29/31</f>
        <v>1311.0645161290322</v>
      </c>
      <c r="F136" s="32">
        <v>31</v>
      </c>
      <c r="G136" s="24"/>
      <c r="H136">
        <f t="shared" si="10"/>
        <v>40643</v>
      </c>
      <c r="J136" s="23" t="s">
        <v>136</v>
      </c>
      <c r="K136" s="23"/>
      <c r="L136" s="23"/>
    </row>
    <row r="137" spans="1:12" x14ac:dyDescent="0.35">
      <c r="A137" s="69" t="s">
        <v>135</v>
      </c>
      <c r="B137" s="69"/>
      <c r="C137" s="69"/>
      <c r="D137" s="69"/>
      <c r="E137" s="69"/>
      <c r="F137" s="69"/>
      <c r="G137" s="69"/>
      <c r="H137" s="29">
        <f>SUM(H125:H136)/365</f>
        <v>2696</v>
      </c>
      <c r="J137" s="6">
        <f>H137*12.75*0.8498</f>
        <v>29211.0252</v>
      </c>
      <c r="L137" s="61"/>
    </row>
    <row r="139" spans="1:12" x14ac:dyDescent="0.35">
      <c r="A139" s="68" t="s">
        <v>146</v>
      </c>
      <c r="B139" s="68"/>
      <c r="C139" s="68"/>
      <c r="D139" s="68"/>
      <c r="E139" s="68"/>
      <c r="F139" s="68"/>
      <c r="G139" s="68"/>
      <c r="H139" s="68"/>
    </row>
    <row r="140" spans="1:12" x14ac:dyDescent="0.35">
      <c r="A140" t="s">
        <v>14</v>
      </c>
      <c r="B140" t="s">
        <v>141</v>
      </c>
      <c r="C140" t="s">
        <v>50</v>
      </c>
      <c r="D140" t="s">
        <v>143</v>
      </c>
      <c r="E140" t="s">
        <v>109</v>
      </c>
      <c r="F140" s="32" t="s">
        <v>110</v>
      </c>
      <c r="G140" s="24" t="s">
        <v>140</v>
      </c>
      <c r="H140" t="s">
        <v>111</v>
      </c>
    </row>
    <row r="141" spans="1:12" x14ac:dyDescent="0.35">
      <c r="A141" t="s">
        <v>1</v>
      </c>
      <c r="B141">
        <v>0</v>
      </c>
      <c r="C141">
        <v>0</v>
      </c>
      <c r="D141">
        <v>4698</v>
      </c>
      <c r="E141">
        <v>4698</v>
      </c>
      <c r="F141" s="32">
        <v>31</v>
      </c>
      <c r="G141" s="24">
        <f>2696.33931176783-D141</f>
        <v>-2001.6606882321698</v>
      </c>
      <c r="H141">
        <f>E141*F141</f>
        <v>145638</v>
      </c>
    </row>
    <row r="142" spans="1:12" x14ac:dyDescent="0.35">
      <c r="A142" t="s">
        <v>2</v>
      </c>
      <c r="B142">
        <v>0</v>
      </c>
      <c r="C142">
        <v>0</v>
      </c>
      <c r="D142">
        <v>4698</v>
      </c>
      <c r="E142">
        <v>4698</v>
      </c>
      <c r="F142" s="32">
        <v>28</v>
      </c>
      <c r="G142" s="24">
        <f t="shared" ref="G142:G151" si="13">2696.33931176783-D142</f>
        <v>-2001.6606882321698</v>
      </c>
      <c r="H142">
        <f t="shared" ref="H142:H152" si="14">E142*F142</f>
        <v>131544</v>
      </c>
    </row>
    <row r="143" spans="1:12" x14ac:dyDescent="0.35">
      <c r="A143" t="s">
        <v>3</v>
      </c>
      <c r="B143">
        <v>1100</v>
      </c>
      <c r="C143">
        <v>0</v>
      </c>
      <c r="D143">
        <f>D142+C143-B143</f>
        <v>3598</v>
      </c>
      <c r="E143" s="6">
        <f>(D142+D143)/2</f>
        <v>4148</v>
      </c>
      <c r="F143" s="32">
        <v>31</v>
      </c>
      <c r="G143" s="24">
        <f t="shared" si="13"/>
        <v>-901.66068823216983</v>
      </c>
      <c r="H143">
        <f t="shared" si="14"/>
        <v>128588</v>
      </c>
    </row>
    <row r="144" spans="1:12" x14ac:dyDescent="0.35">
      <c r="A144" t="s">
        <v>4</v>
      </c>
      <c r="B144">
        <v>1760</v>
      </c>
      <c r="C144">
        <v>0</v>
      </c>
      <c r="D144">
        <f>D143+C144-B144</f>
        <v>1838</v>
      </c>
      <c r="E144" s="6">
        <f>D143*1/30+((D143+C144+D144)/2)*29/30</f>
        <v>2747.3333333333335</v>
      </c>
      <c r="F144" s="32">
        <v>30</v>
      </c>
      <c r="G144" s="24">
        <f>2696.33931176783-D144</f>
        <v>858.33931176783017</v>
      </c>
      <c r="H144">
        <f t="shared" si="14"/>
        <v>82420</v>
      </c>
    </row>
    <row r="145" spans="1:12" x14ac:dyDescent="0.35">
      <c r="A145" t="s">
        <v>5</v>
      </c>
      <c r="B145">
        <v>1815</v>
      </c>
      <c r="C145" s="34">
        <v>880</v>
      </c>
      <c r="D145">
        <f>D144+C145-B145</f>
        <v>903</v>
      </c>
      <c r="E145" s="6">
        <f>D144*1/31+((D144+C145+D145)/2)*30/31</f>
        <v>1811.3870967741934</v>
      </c>
      <c r="F145" s="32">
        <v>31</v>
      </c>
      <c r="G145" s="24">
        <f t="shared" si="13"/>
        <v>1793.3393117678302</v>
      </c>
      <c r="H145">
        <f t="shared" si="14"/>
        <v>56152.999999999993</v>
      </c>
    </row>
    <row r="146" spans="1:12" x14ac:dyDescent="0.35">
      <c r="A146" t="s">
        <v>6</v>
      </c>
      <c r="B146">
        <v>2860</v>
      </c>
      <c r="C146">
        <v>1815</v>
      </c>
      <c r="D146" s="34">
        <f>D145+C146-B146</f>
        <v>-142</v>
      </c>
      <c r="E146" s="6">
        <f>(D145+C146+D146)/2</f>
        <v>1288</v>
      </c>
      <c r="F146" s="32">
        <v>30</v>
      </c>
      <c r="G146" s="24">
        <f t="shared" si="13"/>
        <v>2838.3393117678302</v>
      </c>
      <c r="H146">
        <f t="shared" si="14"/>
        <v>38640</v>
      </c>
    </row>
    <row r="147" spans="1:12" x14ac:dyDescent="0.35">
      <c r="A147" t="s">
        <v>7</v>
      </c>
      <c r="B147">
        <v>1540</v>
      </c>
      <c r="C147">
        <v>2860</v>
      </c>
      <c r="D147">
        <f t="shared" ref="D147:D152" si="15">D146+C147-B147</f>
        <v>1178</v>
      </c>
      <c r="E147" s="6">
        <f>D146*1/31+((D146+C147+D147)/2)*30/31</f>
        <v>1880.5806451612905</v>
      </c>
      <c r="F147" s="32">
        <v>31</v>
      </c>
      <c r="G147" s="24">
        <f t="shared" si="13"/>
        <v>1518.3393117678302</v>
      </c>
      <c r="H147">
        <f t="shared" si="14"/>
        <v>58298.000000000007</v>
      </c>
    </row>
    <row r="148" spans="1:12" x14ac:dyDescent="0.35">
      <c r="A148" t="s">
        <v>8</v>
      </c>
      <c r="B148">
        <v>880</v>
      </c>
      <c r="C148" s="34">
        <v>1540</v>
      </c>
      <c r="D148">
        <f t="shared" si="15"/>
        <v>1838</v>
      </c>
      <c r="E148" s="6">
        <f>(D147+C148+D148)/2</f>
        <v>2278</v>
      </c>
      <c r="F148" s="32">
        <v>31</v>
      </c>
      <c r="G148" s="24">
        <f t="shared" si="13"/>
        <v>858.33931176783017</v>
      </c>
      <c r="H148">
        <f t="shared" si="14"/>
        <v>70618</v>
      </c>
    </row>
    <row r="149" spans="1:12" x14ac:dyDescent="0.35">
      <c r="A149" t="s">
        <v>9</v>
      </c>
      <c r="B149">
        <v>1815</v>
      </c>
      <c r="C149" s="34">
        <v>880</v>
      </c>
      <c r="D149">
        <f t="shared" si="15"/>
        <v>903</v>
      </c>
      <c r="E149" s="6">
        <f>D148*2/30+((D148+C149+D149)/2)*28/30</f>
        <v>1812.3333333333333</v>
      </c>
      <c r="F149" s="32">
        <v>30</v>
      </c>
      <c r="G149" s="24">
        <f t="shared" si="13"/>
        <v>1793.3393117678302</v>
      </c>
      <c r="H149">
        <f t="shared" si="14"/>
        <v>54370</v>
      </c>
    </row>
    <row r="150" spans="1:12" x14ac:dyDescent="0.35">
      <c r="A150" t="s">
        <v>10</v>
      </c>
      <c r="B150">
        <v>3080</v>
      </c>
      <c r="C150">
        <v>1815</v>
      </c>
      <c r="D150" s="34">
        <f t="shared" si="15"/>
        <v>-362</v>
      </c>
      <c r="E150" s="6">
        <f t="shared" ref="E150:E151" si="16">(D149+C150+D150)/2</f>
        <v>1178</v>
      </c>
      <c r="F150" s="33">
        <v>31</v>
      </c>
      <c r="G150" s="24">
        <f t="shared" si="13"/>
        <v>3058.3393117678302</v>
      </c>
      <c r="H150">
        <f t="shared" si="14"/>
        <v>36518</v>
      </c>
    </row>
    <row r="151" spans="1:12" x14ac:dyDescent="0.35">
      <c r="A151" t="s">
        <v>11</v>
      </c>
      <c r="B151">
        <v>2310</v>
      </c>
      <c r="C151">
        <v>3080</v>
      </c>
      <c r="D151">
        <f t="shared" si="15"/>
        <v>408</v>
      </c>
      <c r="E151" s="6">
        <f t="shared" si="16"/>
        <v>1563</v>
      </c>
      <c r="F151" s="32">
        <v>30</v>
      </c>
      <c r="G151" s="24">
        <f t="shared" si="13"/>
        <v>2288.3393117678302</v>
      </c>
      <c r="H151">
        <f t="shared" si="14"/>
        <v>46890</v>
      </c>
    </row>
    <row r="152" spans="1:12" x14ac:dyDescent="0.35">
      <c r="A152" t="s">
        <v>12</v>
      </c>
      <c r="B152">
        <v>3630</v>
      </c>
      <c r="C152">
        <v>2310</v>
      </c>
      <c r="D152" s="34">
        <f t="shared" si="15"/>
        <v>-912</v>
      </c>
      <c r="E152" s="6">
        <f>D151*2/31+((D151+C152+D152)/2)*29/31</f>
        <v>871.06451612903231</v>
      </c>
      <c r="F152" s="32">
        <v>31</v>
      </c>
      <c r="G152" s="24"/>
      <c r="H152">
        <f t="shared" si="14"/>
        <v>27003</v>
      </c>
      <c r="J152" s="23" t="s">
        <v>136</v>
      </c>
      <c r="K152" s="23"/>
      <c r="L152" s="23"/>
    </row>
    <row r="153" spans="1:12" x14ac:dyDescent="0.35">
      <c r="A153" s="69" t="s">
        <v>135</v>
      </c>
      <c r="B153" s="69"/>
      <c r="C153" s="69"/>
      <c r="D153" s="69"/>
      <c r="E153" s="69"/>
      <c r="F153" s="69"/>
      <c r="G153" s="69"/>
      <c r="H153" s="29">
        <f>SUM(H141:H152)/365</f>
        <v>2401.8630136986303</v>
      </c>
      <c r="J153" s="6">
        <f>H153*12.75*0.8498</f>
        <v>26024.065660273976</v>
      </c>
      <c r="L153" s="61"/>
    </row>
    <row r="155" spans="1:12" x14ac:dyDescent="0.35">
      <c r="A155" s="68" t="s">
        <v>147</v>
      </c>
      <c r="B155" s="68"/>
      <c r="C155" s="68"/>
      <c r="D155" s="68"/>
      <c r="E155" s="68"/>
      <c r="F155" s="68"/>
      <c r="G155" s="68"/>
      <c r="H155" s="68"/>
    </row>
    <row r="156" spans="1:12" x14ac:dyDescent="0.35">
      <c r="A156" t="s">
        <v>14</v>
      </c>
      <c r="B156" t="s">
        <v>141</v>
      </c>
      <c r="C156" t="s">
        <v>50</v>
      </c>
      <c r="D156" t="s">
        <v>143</v>
      </c>
      <c r="E156" t="s">
        <v>109</v>
      </c>
      <c r="F156" s="32" t="s">
        <v>110</v>
      </c>
      <c r="G156" s="24" t="s">
        <v>140</v>
      </c>
      <c r="H156" t="s">
        <v>111</v>
      </c>
    </row>
    <row r="157" spans="1:12" x14ac:dyDescent="0.35">
      <c r="A157" t="s">
        <v>1</v>
      </c>
      <c r="B157">
        <v>0</v>
      </c>
      <c r="C157">
        <v>0</v>
      </c>
      <c r="D157">
        <v>4698</v>
      </c>
      <c r="E157">
        <v>4698</v>
      </c>
      <c r="F157" s="32">
        <v>31</v>
      </c>
      <c r="G157" s="24">
        <f>6790.27385356016-D157</f>
        <v>2092.2738535601602</v>
      </c>
      <c r="H157">
        <f>E157*F157</f>
        <v>145638</v>
      </c>
    </row>
    <row r="158" spans="1:12" x14ac:dyDescent="0.35">
      <c r="A158" t="s">
        <v>2</v>
      </c>
      <c r="B158">
        <v>0</v>
      </c>
      <c r="C158">
        <v>0</v>
      </c>
      <c r="D158">
        <v>4698</v>
      </c>
      <c r="E158">
        <v>4698</v>
      </c>
      <c r="F158" s="32">
        <v>28</v>
      </c>
      <c r="G158" s="24">
        <f>6790.27385356016-D158</f>
        <v>2092.2738535601602</v>
      </c>
      <c r="H158">
        <f t="shared" ref="H158:H168" si="17">E158*F158</f>
        <v>131544</v>
      </c>
    </row>
    <row r="159" spans="1:12" x14ac:dyDescent="0.35">
      <c r="A159" t="s">
        <v>3</v>
      </c>
      <c r="B159">
        <v>1100</v>
      </c>
      <c r="C159">
        <v>2145</v>
      </c>
      <c r="D159">
        <f>D158+C159-B159</f>
        <v>5743</v>
      </c>
      <c r="E159" s="6">
        <f>(D158+D159)/2</f>
        <v>5220.5</v>
      </c>
      <c r="F159" s="32">
        <v>31</v>
      </c>
      <c r="G159" s="24">
        <f t="shared" ref="G159:G167" si="18">6790.27385356016-D159</f>
        <v>1047.2738535601602</v>
      </c>
      <c r="H159">
        <f t="shared" si="17"/>
        <v>161835.5</v>
      </c>
    </row>
    <row r="160" spans="1:12" x14ac:dyDescent="0.35">
      <c r="A160" t="s">
        <v>4</v>
      </c>
      <c r="B160">
        <v>1760</v>
      </c>
      <c r="C160">
        <v>0</v>
      </c>
      <c r="D160">
        <f>D159+C160-B160</f>
        <v>3983</v>
      </c>
      <c r="E160" s="6">
        <f>D159*1/30+((D159+C160+D160)/2)*29/30</f>
        <v>4892.333333333333</v>
      </c>
      <c r="F160" s="32">
        <v>30</v>
      </c>
      <c r="G160" s="24">
        <f t="shared" si="18"/>
        <v>2807.2738535601602</v>
      </c>
      <c r="H160">
        <f t="shared" si="17"/>
        <v>146770</v>
      </c>
    </row>
    <row r="161" spans="1:12" x14ac:dyDescent="0.35">
      <c r="A161" t="s">
        <v>5</v>
      </c>
      <c r="B161">
        <v>1815</v>
      </c>
      <c r="C161">
        <v>2860</v>
      </c>
      <c r="D161">
        <f>D160+C161-B161</f>
        <v>5028</v>
      </c>
      <c r="E161" s="6">
        <f>D160*1/31+((D160+C161+D161)/2)*30/31</f>
        <v>5872.5161290322576</v>
      </c>
      <c r="F161" s="32">
        <v>31</v>
      </c>
      <c r="G161" s="24">
        <f t="shared" si="18"/>
        <v>1762.2738535601602</v>
      </c>
      <c r="H161">
        <f t="shared" si="17"/>
        <v>182048</v>
      </c>
    </row>
    <row r="162" spans="1:12" x14ac:dyDescent="0.35">
      <c r="A162" t="s">
        <v>6</v>
      </c>
      <c r="B162">
        <v>2860</v>
      </c>
      <c r="C162">
        <v>0</v>
      </c>
      <c r="D162">
        <f>D161+C162-B162</f>
        <v>2168</v>
      </c>
      <c r="E162" s="6">
        <f>(D161+C162+D162)/2</f>
        <v>3598</v>
      </c>
      <c r="F162" s="32">
        <v>30</v>
      </c>
      <c r="G162" s="24">
        <f t="shared" si="18"/>
        <v>4622.2738535601602</v>
      </c>
      <c r="H162">
        <f t="shared" si="17"/>
        <v>107940</v>
      </c>
    </row>
    <row r="163" spans="1:12" x14ac:dyDescent="0.35">
      <c r="A163" t="s">
        <v>7</v>
      </c>
      <c r="B163">
        <v>1540</v>
      </c>
      <c r="C163">
        <v>4675</v>
      </c>
      <c r="D163">
        <f t="shared" ref="D163:D168" si="19">D162+C163-B163</f>
        <v>5303</v>
      </c>
      <c r="E163" s="6">
        <f>D162*1/31+((D162+C163+D163)/2)*30/31</f>
        <v>5947.0322580645161</v>
      </c>
      <c r="F163" s="32">
        <v>31</v>
      </c>
      <c r="G163" s="24">
        <f>6790.27385356016-D163</f>
        <v>1487.2738535601602</v>
      </c>
      <c r="H163">
        <f t="shared" si="17"/>
        <v>184358</v>
      </c>
    </row>
    <row r="164" spans="1:12" x14ac:dyDescent="0.35">
      <c r="A164" t="s">
        <v>8</v>
      </c>
      <c r="B164">
        <v>880</v>
      </c>
      <c r="C164">
        <v>0</v>
      </c>
      <c r="D164">
        <f t="shared" si="19"/>
        <v>4423</v>
      </c>
      <c r="E164" s="6">
        <f>(D163+C164+D164)/2</f>
        <v>4863</v>
      </c>
      <c r="F164" s="32">
        <v>31</v>
      </c>
      <c r="G164" s="24">
        <f t="shared" si="18"/>
        <v>2367.2738535601602</v>
      </c>
      <c r="H164">
        <f t="shared" si="17"/>
        <v>150753</v>
      </c>
    </row>
    <row r="165" spans="1:12" x14ac:dyDescent="0.35">
      <c r="A165" t="s">
        <v>9</v>
      </c>
      <c r="B165">
        <v>1815</v>
      </c>
      <c r="C165">
        <v>2420</v>
      </c>
      <c r="D165">
        <f t="shared" si="19"/>
        <v>5028</v>
      </c>
      <c r="E165" s="6">
        <f>D164*2/30+((D164+C165+D165)/2)*28/30</f>
        <v>5834.666666666667</v>
      </c>
      <c r="F165" s="32">
        <v>30</v>
      </c>
      <c r="G165" s="24">
        <f t="shared" si="18"/>
        <v>1762.2738535601602</v>
      </c>
      <c r="H165">
        <f t="shared" si="17"/>
        <v>175040</v>
      </c>
    </row>
    <row r="166" spans="1:12" x14ac:dyDescent="0.35">
      <c r="A166" t="s">
        <v>10</v>
      </c>
      <c r="B166">
        <v>3080</v>
      </c>
      <c r="C166">
        <v>0</v>
      </c>
      <c r="D166">
        <f t="shared" si="19"/>
        <v>1948</v>
      </c>
      <c r="E166" s="6">
        <f t="shared" ref="E166:E167" si="20">(D165+C166+D166)/2</f>
        <v>3488</v>
      </c>
      <c r="F166" s="33">
        <v>31</v>
      </c>
      <c r="G166" s="24">
        <f t="shared" si="18"/>
        <v>4842.2738535601602</v>
      </c>
      <c r="H166">
        <f t="shared" si="17"/>
        <v>108128</v>
      </c>
    </row>
    <row r="167" spans="1:12" x14ac:dyDescent="0.35">
      <c r="A167" t="s">
        <v>11</v>
      </c>
      <c r="B167">
        <v>2310</v>
      </c>
      <c r="C167">
        <v>4895</v>
      </c>
      <c r="D167">
        <f t="shared" si="19"/>
        <v>4533</v>
      </c>
      <c r="E167" s="6">
        <f t="shared" si="20"/>
        <v>5688</v>
      </c>
      <c r="F167" s="32">
        <v>30</v>
      </c>
      <c r="G167" s="24">
        <f t="shared" si="18"/>
        <v>2257.2738535601602</v>
      </c>
      <c r="H167">
        <f t="shared" si="17"/>
        <v>170640</v>
      </c>
    </row>
    <row r="168" spans="1:12" x14ac:dyDescent="0.35">
      <c r="A168" t="s">
        <v>12</v>
      </c>
      <c r="B168">
        <v>3630</v>
      </c>
      <c r="C168">
        <v>0</v>
      </c>
      <c r="D168">
        <f t="shared" si="19"/>
        <v>903</v>
      </c>
      <c r="E168" s="6">
        <f>D167*2/31+((D167+C168+D168)/2)*29/31</f>
        <v>2835.0967741935483</v>
      </c>
      <c r="F168" s="32">
        <v>31</v>
      </c>
      <c r="G168" s="24"/>
      <c r="H168">
        <f t="shared" si="17"/>
        <v>87888</v>
      </c>
      <c r="J168" s="23" t="s">
        <v>136</v>
      </c>
      <c r="K168" s="23"/>
      <c r="L168" s="23"/>
    </row>
    <row r="169" spans="1:12" x14ac:dyDescent="0.35">
      <c r="A169" s="69" t="s">
        <v>135</v>
      </c>
      <c r="B169" s="69"/>
      <c r="C169" s="69"/>
      <c r="D169" s="69"/>
      <c r="E169" s="69"/>
      <c r="F169" s="69"/>
      <c r="G169" s="69"/>
      <c r="H169" s="29">
        <f>SUM(H157:H168)/365</f>
        <v>4801.5958904109593</v>
      </c>
      <c r="J169" s="6">
        <f>H169*12.75*0.8498</f>
        <v>52025.051392808229</v>
      </c>
      <c r="L169" s="61"/>
    </row>
    <row r="171" spans="1:12" x14ac:dyDescent="0.35">
      <c r="D171" s="80" t="s">
        <v>155</v>
      </c>
      <c r="E171" s="80"/>
    </row>
    <row r="172" spans="1:12" x14ac:dyDescent="0.35">
      <c r="A172" s="68" t="s">
        <v>139</v>
      </c>
      <c r="B172" s="68"/>
      <c r="C172" s="68"/>
      <c r="D172" s="68"/>
      <c r="E172" s="68"/>
      <c r="F172" s="68"/>
      <c r="G172" s="68"/>
      <c r="H172" s="68"/>
    </row>
    <row r="173" spans="1:12" x14ac:dyDescent="0.35">
      <c r="A173" t="s">
        <v>14</v>
      </c>
      <c r="B173" t="s">
        <v>192</v>
      </c>
      <c r="C173" t="s">
        <v>193</v>
      </c>
      <c r="D173" t="s">
        <v>204</v>
      </c>
      <c r="E173" t="s">
        <v>109</v>
      </c>
      <c r="F173" s="56" t="s">
        <v>110</v>
      </c>
      <c r="G173" s="24" t="s">
        <v>140</v>
      </c>
      <c r="H173" t="s">
        <v>111</v>
      </c>
    </row>
    <row r="174" spans="1:12" x14ac:dyDescent="0.35">
      <c r="A174" t="s">
        <v>1</v>
      </c>
      <c r="B174">
        <v>0</v>
      </c>
      <c r="D174">
        <v>7750</v>
      </c>
      <c r="E174">
        <v>7750</v>
      </c>
      <c r="F174" s="56">
        <v>31</v>
      </c>
      <c r="G174" s="24">
        <f t="shared" ref="G174:G184" si="21">25174.311058675-D174</f>
        <v>17424.311058675001</v>
      </c>
      <c r="H174">
        <f>E174*F174</f>
        <v>240250</v>
      </c>
    </row>
    <row r="175" spans="1:12" x14ac:dyDescent="0.35">
      <c r="A175" t="s">
        <v>2</v>
      </c>
      <c r="B175">
        <v>0</v>
      </c>
      <c r="D175">
        <v>7750</v>
      </c>
      <c r="E175">
        <v>7750</v>
      </c>
      <c r="F175" s="56">
        <v>28</v>
      </c>
      <c r="G175" s="24">
        <f t="shared" si="21"/>
        <v>17424.311058675001</v>
      </c>
      <c r="H175">
        <f t="shared" ref="H175:H185" si="22">E175*F175</f>
        <v>217000</v>
      </c>
    </row>
    <row r="176" spans="1:12" x14ac:dyDescent="0.35">
      <c r="A176" t="s">
        <v>3</v>
      </c>
      <c r="B176">
        <v>6500</v>
      </c>
      <c r="C176">
        <v>17425</v>
      </c>
      <c r="D176">
        <f>D175+C176-B176</f>
        <v>18675</v>
      </c>
      <c r="E176" s="6">
        <f>(D175+D176)/2</f>
        <v>13212.5</v>
      </c>
      <c r="F176" s="56">
        <v>31</v>
      </c>
      <c r="G176" s="24">
        <f t="shared" si="21"/>
        <v>6499.3110586750008</v>
      </c>
      <c r="H176">
        <f t="shared" si="22"/>
        <v>409587.5</v>
      </c>
    </row>
    <row r="177" spans="1:12" x14ac:dyDescent="0.35">
      <c r="A177" t="s">
        <v>4</v>
      </c>
      <c r="B177">
        <v>10500</v>
      </c>
      <c r="C177">
        <v>6500</v>
      </c>
      <c r="D177">
        <f>D176+C177-B177</f>
        <v>14675</v>
      </c>
      <c r="E177" s="6">
        <f>D176*1/30+((D176+C177+D177)/2)*29/30</f>
        <v>19883.333333333332</v>
      </c>
      <c r="F177" s="56">
        <v>30</v>
      </c>
      <c r="G177" s="24">
        <f t="shared" si="21"/>
        <v>10499.311058675001</v>
      </c>
      <c r="H177">
        <f t="shared" si="22"/>
        <v>596500</v>
      </c>
    </row>
    <row r="178" spans="1:12" x14ac:dyDescent="0.35">
      <c r="A178" t="s">
        <v>5</v>
      </c>
      <c r="B178">
        <v>11975</v>
      </c>
      <c r="C178">
        <v>10500</v>
      </c>
      <c r="D178">
        <f>D177+C178-B178</f>
        <v>13200</v>
      </c>
      <c r="E178" s="6">
        <f>D177*1/31+((D177+C178+D178)/2)*30/31</f>
        <v>19041.935483870966</v>
      </c>
      <c r="F178" s="56">
        <v>31</v>
      </c>
      <c r="G178" s="24">
        <f t="shared" si="21"/>
        <v>11974.311058675001</v>
      </c>
      <c r="H178">
        <f t="shared" si="22"/>
        <v>590300</v>
      </c>
    </row>
    <row r="179" spans="1:12" x14ac:dyDescent="0.35">
      <c r="A179" t="s">
        <v>6</v>
      </c>
      <c r="B179">
        <v>13000</v>
      </c>
      <c r="C179">
        <v>11975</v>
      </c>
      <c r="D179">
        <f>D178+C179-B179</f>
        <v>12175</v>
      </c>
      <c r="E179" s="6">
        <f>(D178+C179+D179)/2</f>
        <v>18675</v>
      </c>
      <c r="F179" s="56">
        <v>30</v>
      </c>
      <c r="G179" s="24">
        <f t="shared" si="21"/>
        <v>12999.311058675001</v>
      </c>
      <c r="H179">
        <f t="shared" si="22"/>
        <v>560250</v>
      </c>
    </row>
    <row r="180" spans="1:12" x14ac:dyDescent="0.35">
      <c r="A180" t="s">
        <v>7</v>
      </c>
      <c r="B180">
        <v>6775</v>
      </c>
      <c r="C180">
        <v>13000</v>
      </c>
      <c r="D180">
        <f t="shared" ref="D180:D185" si="23">D179+C180-B180</f>
        <v>18400</v>
      </c>
      <c r="E180" s="6">
        <f>D179*1/31+((D179+C180+D180)/2)*30/31</f>
        <v>21477.419354838708</v>
      </c>
      <c r="F180" s="56">
        <v>31</v>
      </c>
      <c r="G180" s="24">
        <f t="shared" si="21"/>
        <v>6774.3110586750008</v>
      </c>
      <c r="H180">
        <f t="shared" si="22"/>
        <v>665800</v>
      </c>
    </row>
    <row r="181" spans="1:12" x14ac:dyDescent="0.35">
      <c r="A181" t="s">
        <v>8</v>
      </c>
      <c r="B181">
        <v>3400</v>
      </c>
      <c r="C181">
        <v>6775</v>
      </c>
      <c r="D181">
        <f t="shared" si="23"/>
        <v>21775</v>
      </c>
      <c r="E181" s="6">
        <f>(D180+C181+D181)/2</f>
        <v>23475</v>
      </c>
      <c r="F181" s="56">
        <v>31</v>
      </c>
      <c r="G181" s="24">
        <f t="shared" si="21"/>
        <v>3399.3110586750008</v>
      </c>
      <c r="H181">
        <f t="shared" si="22"/>
        <v>727725</v>
      </c>
    </row>
    <row r="182" spans="1:12" x14ac:dyDescent="0.35">
      <c r="A182" t="s">
        <v>9</v>
      </c>
      <c r="B182">
        <v>6750</v>
      </c>
      <c r="C182" s="34">
        <v>3400</v>
      </c>
      <c r="D182">
        <f t="shared" si="23"/>
        <v>18425</v>
      </c>
      <c r="E182" s="6">
        <f>D181*2/30+((D181+C182+D182)/2)*28/30</f>
        <v>21798.333333333336</v>
      </c>
      <c r="F182" s="56">
        <v>30</v>
      </c>
      <c r="G182" s="24">
        <f t="shared" si="21"/>
        <v>6749.3110586750008</v>
      </c>
      <c r="H182">
        <f t="shared" si="22"/>
        <v>653950.00000000012</v>
      </c>
    </row>
    <row r="183" spans="1:12" x14ac:dyDescent="0.35">
      <c r="A183" t="s">
        <v>10</v>
      </c>
      <c r="B183">
        <v>14500</v>
      </c>
      <c r="C183">
        <v>6750</v>
      </c>
      <c r="D183">
        <f t="shared" si="23"/>
        <v>10675</v>
      </c>
      <c r="E183" s="6">
        <f t="shared" ref="E183:E184" si="24">(D182+C183+D183)/2</f>
        <v>17925</v>
      </c>
      <c r="F183" s="57">
        <v>31</v>
      </c>
      <c r="G183" s="24">
        <f t="shared" si="21"/>
        <v>14499.311058675001</v>
      </c>
      <c r="H183">
        <f t="shared" si="22"/>
        <v>555675</v>
      </c>
    </row>
    <row r="184" spans="1:12" x14ac:dyDescent="0.35">
      <c r="A184" t="s">
        <v>11</v>
      </c>
      <c r="B184">
        <v>9025</v>
      </c>
      <c r="C184">
        <v>14500</v>
      </c>
      <c r="D184">
        <f t="shared" si="23"/>
        <v>16150</v>
      </c>
      <c r="E184" s="6">
        <f t="shared" si="24"/>
        <v>20662.5</v>
      </c>
      <c r="F184" s="56">
        <v>30</v>
      </c>
      <c r="G184" s="24">
        <f t="shared" si="21"/>
        <v>9024.3110586750008</v>
      </c>
      <c r="H184">
        <f t="shared" si="22"/>
        <v>619875</v>
      </c>
    </row>
    <row r="185" spans="1:12" x14ac:dyDescent="0.35">
      <c r="A185" t="s">
        <v>12</v>
      </c>
      <c r="B185">
        <v>14550</v>
      </c>
      <c r="C185">
        <v>9025</v>
      </c>
      <c r="D185">
        <f t="shared" si="23"/>
        <v>10625</v>
      </c>
      <c r="E185" s="6">
        <f>D184*2/31+((D184+C185+D185)/2)*29/31</f>
        <v>17787.096774193546</v>
      </c>
      <c r="F185" s="56">
        <v>31</v>
      </c>
      <c r="G185" s="24"/>
      <c r="H185">
        <f t="shared" si="22"/>
        <v>551399.99999999988</v>
      </c>
      <c r="J185" s="56" t="s">
        <v>136</v>
      </c>
      <c r="K185" s="56"/>
      <c r="L185" s="56"/>
    </row>
    <row r="186" spans="1:12" x14ac:dyDescent="0.35">
      <c r="A186" s="81" t="s">
        <v>135</v>
      </c>
      <c r="B186" s="81"/>
      <c r="C186" s="81"/>
      <c r="D186" s="81"/>
      <c r="E186" s="81"/>
      <c r="F186" s="81"/>
      <c r="G186" s="81"/>
      <c r="H186" s="29">
        <f>SUM(H174:H185)/365</f>
        <v>17502.226027397261</v>
      </c>
      <c r="J186" s="6">
        <f>H186*4.09*0.8498</f>
        <v>60832.171963356159</v>
      </c>
      <c r="L186" s="61"/>
    </row>
    <row r="187" spans="1:12" x14ac:dyDescent="0.35">
      <c r="A187" s="56"/>
      <c r="B187" s="56"/>
      <c r="C187" s="56"/>
      <c r="D187" s="56"/>
      <c r="E187" s="56"/>
      <c r="F187" s="56"/>
      <c r="G187" s="56"/>
      <c r="H187" s="22"/>
      <c r="I187" s="56"/>
      <c r="J187" s="56"/>
      <c r="K187" s="56"/>
      <c r="L187" s="56"/>
    </row>
    <row r="188" spans="1:12" x14ac:dyDescent="0.35">
      <c r="A188" s="68" t="s">
        <v>144</v>
      </c>
      <c r="B188" s="68"/>
      <c r="C188" s="68"/>
      <c r="D188" s="68"/>
      <c r="E188" s="68"/>
      <c r="F188" s="68"/>
      <c r="G188" s="68"/>
      <c r="H188" s="68"/>
      <c r="I188" s="56"/>
      <c r="J188" s="56"/>
      <c r="K188" s="56"/>
      <c r="L188" s="56"/>
    </row>
    <row r="189" spans="1:12" x14ac:dyDescent="0.35">
      <c r="A189" t="s">
        <v>14</v>
      </c>
      <c r="B189" t="s">
        <v>192</v>
      </c>
      <c r="C189" t="s">
        <v>193</v>
      </c>
      <c r="D189" t="s">
        <v>204</v>
      </c>
      <c r="E189" t="s">
        <v>109</v>
      </c>
      <c r="F189" s="56" t="s">
        <v>110</v>
      </c>
      <c r="G189" s="24" t="s">
        <v>140</v>
      </c>
      <c r="H189" t="s">
        <v>111</v>
      </c>
    </row>
    <row r="190" spans="1:12" x14ac:dyDescent="0.35">
      <c r="A190" t="s">
        <v>1</v>
      </c>
      <c r="B190">
        <v>0</v>
      </c>
      <c r="D190">
        <v>7750</v>
      </c>
      <c r="E190">
        <v>7750</v>
      </c>
      <c r="F190" s="56">
        <v>31</v>
      </c>
      <c r="G190" s="24">
        <f t="shared" ref="G190:G200" si="25">21268.1340984877-D190</f>
        <v>13518.134098487699</v>
      </c>
      <c r="H190">
        <f>E190*F190</f>
        <v>240250</v>
      </c>
    </row>
    <row r="191" spans="1:12" x14ac:dyDescent="0.35">
      <c r="A191" t="s">
        <v>2</v>
      </c>
      <c r="B191">
        <v>0</v>
      </c>
      <c r="D191">
        <v>7750</v>
      </c>
      <c r="E191">
        <v>7750</v>
      </c>
      <c r="F191" s="56">
        <v>28</v>
      </c>
      <c r="G191" s="24">
        <f t="shared" si="25"/>
        <v>13518.134098487699</v>
      </c>
      <c r="H191">
        <f t="shared" ref="H191:H201" si="26">E191*F191</f>
        <v>217000</v>
      </c>
    </row>
    <row r="192" spans="1:12" x14ac:dyDescent="0.35">
      <c r="A192" t="s">
        <v>3</v>
      </c>
      <c r="B192">
        <v>6500</v>
      </c>
      <c r="C192">
        <v>13525</v>
      </c>
      <c r="D192">
        <f>D191+C192-B192</f>
        <v>14775</v>
      </c>
      <c r="E192" s="6">
        <f>(D191+D192)/2</f>
        <v>11262.5</v>
      </c>
      <c r="F192" s="56">
        <v>31</v>
      </c>
      <c r="G192" s="24">
        <f t="shared" si="25"/>
        <v>6493.1340984876988</v>
      </c>
      <c r="H192">
        <f t="shared" si="26"/>
        <v>349137.5</v>
      </c>
    </row>
    <row r="193" spans="1:12" x14ac:dyDescent="0.35">
      <c r="A193" t="s">
        <v>4</v>
      </c>
      <c r="B193">
        <v>10500</v>
      </c>
      <c r="C193">
        <v>6500</v>
      </c>
      <c r="D193">
        <f>D192+C193-B193</f>
        <v>10775</v>
      </c>
      <c r="E193" s="6">
        <f>D192*1/30+((D192+C193+D193)/2)*29/30</f>
        <v>15983.333333333334</v>
      </c>
      <c r="F193" s="56">
        <v>30</v>
      </c>
      <c r="G193" s="24">
        <f t="shared" si="25"/>
        <v>10493.134098487699</v>
      </c>
      <c r="H193">
        <f t="shared" si="26"/>
        <v>479500</v>
      </c>
    </row>
    <row r="194" spans="1:12" x14ac:dyDescent="0.35">
      <c r="A194" t="s">
        <v>5</v>
      </c>
      <c r="B194">
        <v>11975</v>
      </c>
      <c r="C194">
        <v>10500</v>
      </c>
      <c r="D194">
        <f>D193+C194-B194</f>
        <v>9300</v>
      </c>
      <c r="E194" s="6">
        <f>D193*1/31+((D193+C194+D194)/2)*30/31</f>
        <v>15141.935483870968</v>
      </c>
      <c r="F194" s="56">
        <v>31</v>
      </c>
      <c r="G194" s="24">
        <f t="shared" si="25"/>
        <v>11968.134098487699</v>
      </c>
      <c r="H194">
        <f t="shared" si="26"/>
        <v>469400</v>
      </c>
    </row>
    <row r="195" spans="1:12" x14ac:dyDescent="0.35">
      <c r="A195" t="s">
        <v>6</v>
      </c>
      <c r="B195">
        <v>13000</v>
      </c>
      <c r="C195">
        <v>11975</v>
      </c>
      <c r="D195">
        <f>D194+C195-B195</f>
        <v>8275</v>
      </c>
      <c r="E195" s="6">
        <f>(D194+C195+D195)/2</f>
        <v>14775</v>
      </c>
      <c r="F195" s="56">
        <v>30</v>
      </c>
      <c r="G195" s="24">
        <f t="shared" si="25"/>
        <v>12993.134098487699</v>
      </c>
      <c r="H195">
        <f t="shared" si="26"/>
        <v>443250</v>
      </c>
    </row>
    <row r="196" spans="1:12" x14ac:dyDescent="0.35">
      <c r="A196" t="s">
        <v>7</v>
      </c>
      <c r="B196">
        <v>6775</v>
      </c>
      <c r="C196">
        <v>13000</v>
      </c>
      <c r="D196">
        <f t="shared" ref="D196:D201" si="27">D195+C196-B196</f>
        <v>14500</v>
      </c>
      <c r="E196" s="6">
        <f>D195*1/31+((D195+C196+D196)/2)*30/31</f>
        <v>17577.419354838708</v>
      </c>
      <c r="F196" s="56">
        <v>31</v>
      </c>
      <c r="G196" s="24">
        <f t="shared" si="25"/>
        <v>6768.1340984876988</v>
      </c>
      <c r="H196">
        <f t="shared" si="26"/>
        <v>544900</v>
      </c>
    </row>
    <row r="197" spans="1:12" x14ac:dyDescent="0.35">
      <c r="A197" t="s">
        <v>8</v>
      </c>
      <c r="B197">
        <v>3400</v>
      </c>
      <c r="C197">
        <v>6775</v>
      </c>
      <c r="D197">
        <f t="shared" si="27"/>
        <v>17875</v>
      </c>
      <c r="E197" s="6">
        <f>(D196+C197+D197)/2</f>
        <v>19575</v>
      </c>
      <c r="F197" s="56">
        <v>31</v>
      </c>
      <c r="G197" s="24">
        <f t="shared" si="25"/>
        <v>3393.1340984876988</v>
      </c>
      <c r="H197">
        <f t="shared" si="26"/>
        <v>606825</v>
      </c>
    </row>
    <row r="198" spans="1:12" x14ac:dyDescent="0.35">
      <c r="A198" t="s">
        <v>9</v>
      </c>
      <c r="B198">
        <v>6750</v>
      </c>
      <c r="C198" s="34">
        <v>3400</v>
      </c>
      <c r="D198">
        <f t="shared" si="27"/>
        <v>14525</v>
      </c>
      <c r="E198" s="6">
        <f>D197*2/30+((D197+C198+D198)/2)*28/30</f>
        <v>17898.333333333336</v>
      </c>
      <c r="F198" s="56">
        <v>30</v>
      </c>
      <c r="G198" s="24">
        <f t="shared" si="25"/>
        <v>6743.1340984876988</v>
      </c>
      <c r="H198">
        <f t="shared" si="26"/>
        <v>536950.00000000012</v>
      </c>
    </row>
    <row r="199" spans="1:12" x14ac:dyDescent="0.35">
      <c r="A199" t="s">
        <v>10</v>
      </c>
      <c r="B199">
        <v>14500</v>
      </c>
      <c r="C199">
        <v>6750</v>
      </c>
      <c r="D199">
        <f t="shared" si="27"/>
        <v>6775</v>
      </c>
      <c r="E199" s="6">
        <f t="shared" ref="E199:E200" si="28">(D198+C199+D199)/2</f>
        <v>14025</v>
      </c>
      <c r="F199" s="57">
        <v>31</v>
      </c>
      <c r="G199" s="24">
        <f t="shared" si="25"/>
        <v>14493.134098487699</v>
      </c>
      <c r="H199">
        <f t="shared" si="26"/>
        <v>434775</v>
      </c>
    </row>
    <row r="200" spans="1:12" x14ac:dyDescent="0.35">
      <c r="A200" t="s">
        <v>11</v>
      </c>
      <c r="B200">
        <v>9025</v>
      </c>
      <c r="C200">
        <v>14500</v>
      </c>
      <c r="D200">
        <f t="shared" si="27"/>
        <v>12250</v>
      </c>
      <c r="E200" s="6">
        <f t="shared" si="28"/>
        <v>16762.5</v>
      </c>
      <c r="F200" s="56">
        <v>30</v>
      </c>
      <c r="G200" s="24">
        <f t="shared" si="25"/>
        <v>9018.1340984876988</v>
      </c>
      <c r="H200">
        <f t="shared" si="26"/>
        <v>502875</v>
      </c>
    </row>
    <row r="201" spans="1:12" x14ac:dyDescent="0.35">
      <c r="A201" t="s">
        <v>12</v>
      </c>
      <c r="B201">
        <v>14550</v>
      </c>
      <c r="C201">
        <v>9025</v>
      </c>
      <c r="D201">
        <f t="shared" si="27"/>
        <v>6725</v>
      </c>
      <c r="E201" s="6">
        <f>D200*2/31+((D200+C201+D201)/2)*29/31</f>
        <v>13887.096774193547</v>
      </c>
      <c r="F201" s="56">
        <v>31</v>
      </c>
      <c r="H201">
        <f t="shared" si="26"/>
        <v>430499.99999999994</v>
      </c>
      <c r="J201" s="56" t="s">
        <v>136</v>
      </c>
      <c r="K201" s="56"/>
      <c r="L201" s="56"/>
    </row>
    <row r="202" spans="1:12" x14ac:dyDescent="0.35">
      <c r="A202" s="81" t="s">
        <v>135</v>
      </c>
      <c r="B202" s="81"/>
      <c r="C202" s="81"/>
      <c r="D202" s="81"/>
      <c r="E202" s="81"/>
      <c r="F202" s="81"/>
      <c r="G202" s="81"/>
      <c r="H202" s="29">
        <f>SUM(H190:H201)/365</f>
        <v>14398.253424657534</v>
      </c>
      <c r="J202" s="6">
        <f>H202*4.09*0.8498</f>
        <v>50043.750259520544</v>
      </c>
      <c r="L202" s="61"/>
    </row>
    <row r="203" spans="1:12" x14ac:dyDescent="0.35">
      <c r="A203" s="58"/>
      <c r="B203" s="58"/>
      <c r="C203" s="58"/>
      <c r="D203" s="58"/>
      <c r="E203" s="58"/>
      <c r="F203" s="58"/>
      <c r="G203" s="58"/>
      <c r="H203" s="22"/>
    </row>
    <row r="204" spans="1:12" x14ac:dyDescent="0.35">
      <c r="A204" s="68" t="s">
        <v>145</v>
      </c>
      <c r="B204" s="68"/>
      <c r="C204" s="68"/>
      <c r="D204" s="68"/>
      <c r="E204" s="68"/>
      <c r="F204" s="68"/>
      <c r="G204" s="68"/>
      <c r="H204" s="68"/>
    </row>
    <row r="205" spans="1:12" x14ac:dyDescent="0.35">
      <c r="A205" t="s">
        <v>14</v>
      </c>
      <c r="B205" t="s">
        <v>192</v>
      </c>
      <c r="C205" t="s">
        <v>193</v>
      </c>
      <c r="D205" t="s">
        <v>204</v>
      </c>
      <c r="E205" t="s">
        <v>109</v>
      </c>
      <c r="F205" s="56" t="s">
        <v>110</v>
      </c>
      <c r="G205" s="24" t="s">
        <v>140</v>
      </c>
      <c r="H205" t="s">
        <v>111</v>
      </c>
    </row>
    <row r="206" spans="1:12" x14ac:dyDescent="0.35">
      <c r="A206" t="s">
        <v>1</v>
      </c>
      <c r="B206">
        <v>0</v>
      </c>
      <c r="D206">
        <v>7750</v>
      </c>
      <c r="E206">
        <v>7750</v>
      </c>
      <c r="F206" s="56">
        <v>31</v>
      </c>
      <c r="G206" s="24">
        <f t="shared" ref="G206:G216" si="29">19185.7656149427-D206</f>
        <v>11435.765614942698</v>
      </c>
      <c r="H206">
        <f>E206*F206</f>
        <v>240250</v>
      </c>
    </row>
    <row r="207" spans="1:12" x14ac:dyDescent="0.35">
      <c r="A207" t="s">
        <v>2</v>
      </c>
      <c r="B207">
        <v>0</v>
      </c>
      <c r="D207">
        <v>7750</v>
      </c>
      <c r="E207">
        <v>7750</v>
      </c>
      <c r="F207" s="56">
        <v>28</v>
      </c>
      <c r="G207" s="24">
        <f t="shared" si="29"/>
        <v>11435.765614942698</v>
      </c>
      <c r="H207">
        <f t="shared" ref="H207:H217" si="30">E207*F207</f>
        <v>217000</v>
      </c>
    </row>
    <row r="208" spans="1:12" x14ac:dyDescent="0.35">
      <c r="A208" t="s">
        <v>3</v>
      </c>
      <c r="B208">
        <v>6500</v>
      </c>
      <c r="C208">
        <v>11450</v>
      </c>
      <c r="D208">
        <f>D207+C208-B208</f>
        <v>12700</v>
      </c>
      <c r="E208" s="6">
        <f>(D207+D208)/2</f>
        <v>10225</v>
      </c>
      <c r="F208" s="56">
        <v>31</v>
      </c>
      <c r="G208" s="24">
        <f t="shared" si="29"/>
        <v>6485.7656149426984</v>
      </c>
      <c r="H208">
        <f t="shared" si="30"/>
        <v>316975</v>
      </c>
    </row>
    <row r="209" spans="1:12" x14ac:dyDescent="0.35">
      <c r="A209" t="s">
        <v>4</v>
      </c>
      <c r="B209">
        <v>10500</v>
      </c>
      <c r="C209">
        <v>6500</v>
      </c>
      <c r="D209">
        <f>D208+C209-B209</f>
        <v>8700</v>
      </c>
      <c r="E209" s="6">
        <f>D208*1/30+((D208+C209+D209)/2)*29/30</f>
        <v>13908.333333333334</v>
      </c>
      <c r="F209" s="56">
        <v>30</v>
      </c>
      <c r="G209" s="24">
        <f t="shared" si="29"/>
        <v>10485.765614942698</v>
      </c>
      <c r="H209">
        <f t="shared" si="30"/>
        <v>417250</v>
      </c>
    </row>
    <row r="210" spans="1:12" x14ac:dyDescent="0.35">
      <c r="A210" t="s">
        <v>5</v>
      </c>
      <c r="B210">
        <v>11975</v>
      </c>
      <c r="C210">
        <v>10500</v>
      </c>
      <c r="D210">
        <f>D209+C210-B210</f>
        <v>7225</v>
      </c>
      <c r="E210" s="6">
        <f>D209*1/31+((D209+C210+D210)/2)*30/31</f>
        <v>13066.935483870968</v>
      </c>
      <c r="F210" s="56">
        <v>31</v>
      </c>
      <c r="G210" s="24">
        <f t="shared" si="29"/>
        <v>11960.765614942698</v>
      </c>
      <c r="H210">
        <f t="shared" si="30"/>
        <v>405075</v>
      </c>
    </row>
    <row r="211" spans="1:12" x14ac:dyDescent="0.35">
      <c r="A211" t="s">
        <v>6</v>
      </c>
      <c r="B211">
        <v>13000</v>
      </c>
      <c r="C211">
        <v>11975</v>
      </c>
      <c r="D211">
        <f>D210+C211-B211</f>
        <v>6200</v>
      </c>
      <c r="E211" s="6">
        <f>(D210+C211+D211)/2</f>
        <v>12700</v>
      </c>
      <c r="F211" s="56">
        <v>30</v>
      </c>
      <c r="G211" s="24">
        <f t="shared" si="29"/>
        <v>12985.765614942698</v>
      </c>
      <c r="H211">
        <f t="shared" si="30"/>
        <v>381000</v>
      </c>
    </row>
    <row r="212" spans="1:12" x14ac:dyDescent="0.35">
      <c r="A212" t="s">
        <v>7</v>
      </c>
      <c r="B212">
        <v>6775</v>
      </c>
      <c r="C212">
        <v>13000</v>
      </c>
      <c r="D212">
        <f t="shared" ref="D212:D217" si="31">D211+C212-B212</f>
        <v>12425</v>
      </c>
      <c r="E212" s="6">
        <f>D211*1/31+((D211+C212+D212)/2)*30/31</f>
        <v>15502.41935483871</v>
      </c>
      <c r="F212" s="56">
        <v>31</v>
      </c>
      <c r="G212" s="24">
        <f t="shared" si="29"/>
        <v>6760.7656149426984</v>
      </c>
      <c r="H212">
        <f t="shared" si="30"/>
        <v>480575</v>
      </c>
    </row>
    <row r="213" spans="1:12" x14ac:dyDescent="0.35">
      <c r="A213" t="s">
        <v>8</v>
      </c>
      <c r="B213">
        <v>3400</v>
      </c>
      <c r="C213">
        <v>6775</v>
      </c>
      <c r="D213">
        <f t="shared" si="31"/>
        <v>15800</v>
      </c>
      <c r="E213" s="6">
        <f>(D212+C213+D213)/2</f>
        <v>17500</v>
      </c>
      <c r="F213" s="56">
        <v>31</v>
      </c>
      <c r="G213" s="24">
        <f t="shared" si="29"/>
        <v>3385.7656149426984</v>
      </c>
      <c r="H213">
        <f t="shared" si="30"/>
        <v>542500</v>
      </c>
    </row>
    <row r="214" spans="1:12" x14ac:dyDescent="0.35">
      <c r="A214" t="s">
        <v>9</v>
      </c>
      <c r="B214">
        <v>6750</v>
      </c>
      <c r="C214" s="34">
        <v>3400</v>
      </c>
      <c r="D214">
        <f t="shared" si="31"/>
        <v>12450</v>
      </c>
      <c r="E214" s="6">
        <f>D213*2/30+((D213+C214+D214)/2)*28/30</f>
        <v>15823.333333333334</v>
      </c>
      <c r="F214" s="56">
        <v>30</v>
      </c>
      <c r="G214" s="24">
        <f t="shared" si="29"/>
        <v>6735.7656149426984</v>
      </c>
      <c r="H214">
        <f t="shared" si="30"/>
        <v>474700</v>
      </c>
    </row>
    <row r="215" spans="1:12" x14ac:dyDescent="0.35">
      <c r="A215" t="s">
        <v>10</v>
      </c>
      <c r="B215">
        <v>14500</v>
      </c>
      <c r="C215">
        <v>6750</v>
      </c>
      <c r="D215">
        <f t="shared" si="31"/>
        <v>4700</v>
      </c>
      <c r="E215" s="6">
        <f t="shared" ref="E215:E216" si="32">(D214+C215+D215)/2</f>
        <v>11950</v>
      </c>
      <c r="F215" s="57">
        <v>31</v>
      </c>
      <c r="G215" s="24">
        <f t="shared" si="29"/>
        <v>14485.765614942698</v>
      </c>
      <c r="H215">
        <f t="shared" si="30"/>
        <v>370450</v>
      </c>
    </row>
    <row r="216" spans="1:12" x14ac:dyDescent="0.35">
      <c r="A216" t="s">
        <v>11</v>
      </c>
      <c r="B216">
        <v>9025</v>
      </c>
      <c r="C216">
        <v>14500</v>
      </c>
      <c r="D216">
        <f t="shared" si="31"/>
        <v>10175</v>
      </c>
      <c r="E216" s="6">
        <f t="shared" si="32"/>
        <v>14687.5</v>
      </c>
      <c r="F216" s="56">
        <v>30</v>
      </c>
      <c r="G216" s="24">
        <f t="shared" si="29"/>
        <v>9010.7656149426984</v>
      </c>
      <c r="H216">
        <f t="shared" si="30"/>
        <v>440625</v>
      </c>
    </row>
    <row r="217" spans="1:12" x14ac:dyDescent="0.35">
      <c r="A217" t="s">
        <v>12</v>
      </c>
      <c r="B217">
        <v>14550</v>
      </c>
      <c r="C217">
        <v>9025</v>
      </c>
      <c r="D217">
        <f t="shared" si="31"/>
        <v>4650</v>
      </c>
      <c r="E217" s="6">
        <f>D216*2/31+((D216+C217+D217)/2)*29/31</f>
        <v>11812.096774193547</v>
      </c>
      <c r="F217" s="56">
        <v>31</v>
      </c>
      <c r="G217" s="53"/>
      <c r="H217">
        <f t="shared" si="30"/>
        <v>366174.99999999994</v>
      </c>
      <c r="J217" s="56" t="s">
        <v>136</v>
      </c>
      <c r="K217" s="56"/>
      <c r="L217" s="56"/>
    </row>
    <row r="218" spans="1:12" x14ac:dyDescent="0.35">
      <c r="A218" s="81" t="s">
        <v>135</v>
      </c>
      <c r="B218" s="81"/>
      <c r="C218" s="81"/>
      <c r="D218" s="81"/>
      <c r="E218" s="81"/>
      <c r="F218" s="81"/>
      <c r="G218" s="81"/>
      <c r="H218" s="29">
        <f>SUM(H206:H217)/365</f>
        <v>12746.780821917808</v>
      </c>
      <c r="J218" s="6">
        <f>H218*4.09*0.8498</f>
        <v>44303.756660684929</v>
      </c>
      <c r="L218" s="61"/>
    </row>
    <row r="220" spans="1:12" x14ac:dyDescent="0.35">
      <c r="A220" s="68" t="s">
        <v>146</v>
      </c>
      <c r="B220" s="68"/>
      <c r="C220" s="68"/>
      <c r="D220" s="68"/>
      <c r="E220" s="68"/>
      <c r="F220" s="68"/>
      <c r="G220" s="68"/>
      <c r="H220" s="68"/>
    </row>
    <row r="221" spans="1:12" x14ac:dyDescent="0.35">
      <c r="A221" t="s">
        <v>14</v>
      </c>
      <c r="B221" t="s">
        <v>192</v>
      </c>
      <c r="C221" t="s">
        <v>193</v>
      </c>
      <c r="D221" t="s">
        <v>204</v>
      </c>
      <c r="E221" t="s">
        <v>109</v>
      </c>
      <c r="F221" s="56" t="s">
        <v>110</v>
      </c>
      <c r="G221" s="24" t="s">
        <v>140</v>
      </c>
      <c r="H221" t="s">
        <v>111</v>
      </c>
    </row>
    <row r="222" spans="1:12" x14ac:dyDescent="0.35">
      <c r="A222" t="s">
        <v>1</v>
      </c>
      <c r="B222">
        <v>0</v>
      </c>
      <c r="D222">
        <v>7750</v>
      </c>
      <c r="E222">
        <v>7750</v>
      </c>
      <c r="F222" s="56">
        <v>31</v>
      </c>
      <c r="G222" s="24">
        <f t="shared" ref="G222:G232" si="33">16664.1805330807-D222</f>
        <v>8914.1805330807001</v>
      </c>
      <c r="H222">
        <f>E222*F222</f>
        <v>240250</v>
      </c>
    </row>
    <row r="223" spans="1:12" x14ac:dyDescent="0.35">
      <c r="A223" t="s">
        <v>2</v>
      </c>
      <c r="B223">
        <v>0</v>
      </c>
      <c r="D223">
        <v>7750</v>
      </c>
      <c r="E223">
        <v>7750</v>
      </c>
      <c r="F223" s="56">
        <v>28</v>
      </c>
      <c r="G223" s="24">
        <f t="shared" si="33"/>
        <v>8914.1805330807001</v>
      </c>
      <c r="H223">
        <f t="shared" ref="H223:H233" si="34">E223*F223</f>
        <v>217000</v>
      </c>
    </row>
    <row r="224" spans="1:12" x14ac:dyDescent="0.35">
      <c r="A224" t="s">
        <v>3</v>
      </c>
      <c r="B224">
        <v>6500</v>
      </c>
      <c r="C224">
        <v>8925</v>
      </c>
      <c r="D224">
        <f>D223+C224-B224</f>
        <v>10175</v>
      </c>
      <c r="E224" s="6">
        <f>(D223+D224)/2</f>
        <v>8962.5</v>
      </c>
      <c r="F224" s="56">
        <v>31</v>
      </c>
      <c r="G224" s="24">
        <f t="shared" si="33"/>
        <v>6489.1805330807001</v>
      </c>
      <c r="H224">
        <f t="shared" si="34"/>
        <v>277837.5</v>
      </c>
    </row>
    <row r="225" spans="1:12" x14ac:dyDescent="0.35">
      <c r="A225" t="s">
        <v>4</v>
      </c>
      <c r="B225">
        <v>10500</v>
      </c>
      <c r="C225">
        <v>6500</v>
      </c>
      <c r="D225">
        <f>D224+C225-B225</f>
        <v>6175</v>
      </c>
      <c r="E225" s="6">
        <f>D224*1/30+((D224+C225+D225)/2)*29/30</f>
        <v>11383.333333333332</v>
      </c>
      <c r="F225" s="56">
        <v>30</v>
      </c>
      <c r="G225" s="24">
        <f t="shared" si="33"/>
        <v>10489.1805330807</v>
      </c>
      <c r="H225">
        <f t="shared" si="34"/>
        <v>341499.99999999994</v>
      </c>
    </row>
    <row r="226" spans="1:12" x14ac:dyDescent="0.35">
      <c r="A226" t="s">
        <v>5</v>
      </c>
      <c r="B226">
        <v>11975</v>
      </c>
      <c r="C226">
        <v>10500</v>
      </c>
      <c r="D226">
        <f>D225+C226-B226</f>
        <v>4700</v>
      </c>
      <c r="E226" s="6">
        <f>D225*1/31+((D225+C226+D226)/2)*30/31</f>
        <v>10541.935483870968</v>
      </c>
      <c r="F226" s="56">
        <v>31</v>
      </c>
      <c r="G226" s="24">
        <f t="shared" si="33"/>
        <v>11964.1805330807</v>
      </c>
      <c r="H226">
        <f t="shared" si="34"/>
        <v>326800</v>
      </c>
    </row>
    <row r="227" spans="1:12" x14ac:dyDescent="0.35">
      <c r="A227" t="s">
        <v>6</v>
      </c>
      <c r="B227">
        <v>13000</v>
      </c>
      <c r="C227">
        <v>11975</v>
      </c>
      <c r="D227">
        <f>D226+C227-B227</f>
        <v>3675</v>
      </c>
      <c r="E227" s="6">
        <f>(D226+C227+D227)/2</f>
        <v>10175</v>
      </c>
      <c r="F227" s="56">
        <v>30</v>
      </c>
      <c r="G227" s="24">
        <f t="shared" si="33"/>
        <v>12989.1805330807</v>
      </c>
      <c r="H227">
        <f t="shared" si="34"/>
        <v>305250</v>
      </c>
    </row>
    <row r="228" spans="1:12" x14ac:dyDescent="0.35">
      <c r="A228" t="s">
        <v>7</v>
      </c>
      <c r="B228">
        <v>6775</v>
      </c>
      <c r="C228">
        <v>13000</v>
      </c>
      <c r="D228">
        <f t="shared" ref="D228:D233" si="35">D227+C228-B228</f>
        <v>9900</v>
      </c>
      <c r="E228" s="6">
        <f>D227*1/31+((D227+C228+D228)/2)*30/31</f>
        <v>12977.41935483871</v>
      </c>
      <c r="F228" s="56">
        <v>31</v>
      </c>
      <c r="G228" s="24">
        <f t="shared" si="33"/>
        <v>6764.1805330807001</v>
      </c>
      <c r="H228">
        <f t="shared" si="34"/>
        <v>402300</v>
      </c>
    </row>
    <row r="229" spans="1:12" x14ac:dyDescent="0.35">
      <c r="A229" t="s">
        <v>8</v>
      </c>
      <c r="B229">
        <v>3400</v>
      </c>
      <c r="C229">
        <v>6775</v>
      </c>
      <c r="D229">
        <f t="shared" si="35"/>
        <v>13275</v>
      </c>
      <c r="E229" s="6">
        <f>(D228+C229+D229)/2</f>
        <v>14975</v>
      </c>
      <c r="F229" s="56">
        <v>31</v>
      </c>
      <c r="G229" s="24">
        <f t="shared" si="33"/>
        <v>3389.1805330807001</v>
      </c>
      <c r="H229">
        <f t="shared" si="34"/>
        <v>464225</v>
      </c>
    </row>
    <row r="230" spans="1:12" x14ac:dyDescent="0.35">
      <c r="A230" t="s">
        <v>9</v>
      </c>
      <c r="B230">
        <v>6750</v>
      </c>
      <c r="C230" s="34">
        <v>3400</v>
      </c>
      <c r="D230">
        <f t="shared" si="35"/>
        <v>9925</v>
      </c>
      <c r="E230" s="6">
        <f>D229*2/30+((D229+C230+D230)/2)*28/30</f>
        <v>13298.333333333334</v>
      </c>
      <c r="F230" s="56">
        <v>30</v>
      </c>
      <c r="G230" s="24">
        <f t="shared" si="33"/>
        <v>6739.1805330807001</v>
      </c>
      <c r="H230">
        <f t="shared" si="34"/>
        <v>398950</v>
      </c>
    </row>
    <row r="231" spans="1:12" x14ac:dyDescent="0.35">
      <c r="A231" t="s">
        <v>10</v>
      </c>
      <c r="B231">
        <v>14500</v>
      </c>
      <c r="C231">
        <v>6750</v>
      </c>
      <c r="D231">
        <f t="shared" si="35"/>
        <v>2175</v>
      </c>
      <c r="E231" s="6">
        <f t="shared" ref="E231:E232" si="36">(D230+C231+D231)/2</f>
        <v>9425</v>
      </c>
      <c r="F231" s="57">
        <v>31</v>
      </c>
      <c r="G231" s="24">
        <f t="shared" si="33"/>
        <v>14489.1805330807</v>
      </c>
      <c r="H231">
        <f t="shared" si="34"/>
        <v>292175</v>
      </c>
    </row>
    <row r="232" spans="1:12" x14ac:dyDescent="0.35">
      <c r="A232" t="s">
        <v>11</v>
      </c>
      <c r="B232">
        <v>9025</v>
      </c>
      <c r="C232">
        <v>14500</v>
      </c>
      <c r="D232">
        <f t="shared" si="35"/>
        <v>7650</v>
      </c>
      <c r="E232" s="6">
        <f t="shared" si="36"/>
        <v>12162.5</v>
      </c>
      <c r="F232" s="56">
        <v>30</v>
      </c>
      <c r="G232" s="24">
        <f t="shared" si="33"/>
        <v>9014.1805330807001</v>
      </c>
      <c r="H232">
        <f t="shared" si="34"/>
        <v>364875</v>
      </c>
    </row>
    <row r="233" spans="1:12" x14ac:dyDescent="0.35">
      <c r="A233" t="s">
        <v>12</v>
      </c>
      <c r="B233">
        <v>14550</v>
      </c>
      <c r="C233">
        <v>9025</v>
      </c>
      <c r="D233">
        <f t="shared" si="35"/>
        <v>2125</v>
      </c>
      <c r="E233" s="6">
        <f>D232*2/31+((D232+C233+D233)/2)*29/31</f>
        <v>9287.0967741935492</v>
      </c>
      <c r="F233" s="56">
        <v>31</v>
      </c>
      <c r="H233">
        <f t="shared" si="34"/>
        <v>287900</v>
      </c>
      <c r="J233" s="56" t="s">
        <v>136</v>
      </c>
      <c r="K233" s="56"/>
      <c r="L233" s="56"/>
    </row>
    <row r="234" spans="1:12" x14ac:dyDescent="0.35">
      <c r="A234" s="81" t="s">
        <v>135</v>
      </c>
      <c r="B234" s="81"/>
      <c r="C234" s="81"/>
      <c r="D234" s="81"/>
      <c r="E234" s="81"/>
      <c r="F234" s="81"/>
      <c r="G234" s="81"/>
      <c r="H234" s="29">
        <f>SUM(H222:H233)/365</f>
        <v>10737.157534246575</v>
      </c>
      <c r="J234" s="6">
        <f>H234*4.09*0.8498</f>
        <v>37318.945172945198</v>
      </c>
      <c r="L234" s="61"/>
    </row>
    <row r="236" spans="1:12" x14ac:dyDescent="0.35">
      <c r="A236" s="68" t="s">
        <v>147</v>
      </c>
      <c r="B236" s="68"/>
      <c r="C236" s="68"/>
      <c r="D236" s="68"/>
      <c r="E236" s="68"/>
      <c r="F236" s="68"/>
      <c r="G236" s="68"/>
      <c r="H236" s="68"/>
    </row>
    <row r="237" spans="1:12" x14ac:dyDescent="0.35">
      <c r="A237" t="s">
        <v>14</v>
      </c>
      <c r="B237" t="s">
        <v>192</v>
      </c>
      <c r="C237" t="s">
        <v>193</v>
      </c>
      <c r="D237" t="s">
        <v>204</v>
      </c>
      <c r="E237" t="s">
        <v>109</v>
      </c>
      <c r="F237" s="56" t="s">
        <v>110</v>
      </c>
      <c r="G237" s="24" t="s">
        <v>140</v>
      </c>
      <c r="H237" t="s">
        <v>111</v>
      </c>
    </row>
    <row r="238" spans="1:12" x14ac:dyDescent="0.35">
      <c r="A238" t="s">
        <v>1</v>
      </c>
      <c r="B238">
        <v>0</v>
      </c>
      <c r="C238">
        <v>0</v>
      </c>
      <c r="D238">
        <v>7750</v>
      </c>
      <c r="E238">
        <v>7750</v>
      </c>
      <c r="F238" s="56">
        <v>31</v>
      </c>
      <c r="G238" s="24">
        <f t="shared" ref="G238:G248" si="37">41783.9656348523-D238</f>
        <v>34033.965634852299</v>
      </c>
      <c r="H238">
        <f>E238*F238</f>
        <v>240250</v>
      </c>
    </row>
    <row r="239" spans="1:12" x14ac:dyDescent="0.35">
      <c r="A239" t="s">
        <v>2</v>
      </c>
      <c r="B239">
        <v>0</v>
      </c>
      <c r="C239">
        <v>0</v>
      </c>
      <c r="D239">
        <v>7750</v>
      </c>
      <c r="E239">
        <v>7750</v>
      </c>
      <c r="F239" s="56">
        <v>28</v>
      </c>
      <c r="G239" s="24">
        <f t="shared" si="37"/>
        <v>34033.965634852299</v>
      </c>
      <c r="H239">
        <f t="shared" ref="H239:H249" si="38">E239*F239</f>
        <v>217000</v>
      </c>
    </row>
    <row r="240" spans="1:12" x14ac:dyDescent="0.35">
      <c r="A240" t="s">
        <v>3</v>
      </c>
      <c r="B240">
        <v>6500</v>
      </c>
      <c r="C240">
        <v>34050</v>
      </c>
      <c r="D240">
        <f>D239+C240-B240</f>
        <v>35300</v>
      </c>
      <c r="E240" s="6">
        <f>(D239+D240)/2</f>
        <v>21525</v>
      </c>
      <c r="F240" s="56">
        <v>31</v>
      </c>
      <c r="G240" s="24">
        <f t="shared" si="37"/>
        <v>6483.9656348522985</v>
      </c>
      <c r="H240">
        <f t="shared" si="38"/>
        <v>667275</v>
      </c>
    </row>
    <row r="241" spans="1:12" x14ac:dyDescent="0.35">
      <c r="A241" t="s">
        <v>4</v>
      </c>
      <c r="B241">
        <v>10500</v>
      </c>
      <c r="C241">
        <v>0</v>
      </c>
      <c r="D241">
        <f>D240+C241-B241</f>
        <v>24800</v>
      </c>
      <c r="E241" s="6">
        <f>D240*1/30+((D240+C241+D241)/2)*29/30</f>
        <v>30225</v>
      </c>
      <c r="F241" s="56">
        <v>30</v>
      </c>
      <c r="G241" s="24">
        <f t="shared" si="37"/>
        <v>16983.965634852299</v>
      </c>
      <c r="H241">
        <f t="shared" si="38"/>
        <v>906750</v>
      </c>
    </row>
    <row r="242" spans="1:12" x14ac:dyDescent="0.35">
      <c r="A242" t="s">
        <v>5</v>
      </c>
      <c r="B242">
        <v>11975</v>
      </c>
      <c r="C242">
        <v>17000</v>
      </c>
      <c r="D242">
        <f>D241+C242-B242</f>
        <v>29825</v>
      </c>
      <c r="E242" s="6">
        <f>D241*1/31+((D241+C242+D242)/2)*30/31</f>
        <v>35457.258064516129</v>
      </c>
      <c r="F242" s="56">
        <v>31</v>
      </c>
      <c r="G242" s="24">
        <f t="shared" si="37"/>
        <v>11958.965634852299</v>
      </c>
      <c r="H242">
        <f t="shared" si="38"/>
        <v>1099175</v>
      </c>
    </row>
    <row r="243" spans="1:12" x14ac:dyDescent="0.35">
      <c r="A243" t="s">
        <v>6</v>
      </c>
      <c r="B243">
        <v>13000</v>
      </c>
      <c r="C243" s="56">
        <v>0</v>
      </c>
      <c r="D243">
        <f>D242+C243-B243</f>
        <v>16825</v>
      </c>
      <c r="E243" s="6">
        <f>(D242+C243+D243)/2</f>
        <v>23325</v>
      </c>
      <c r="F243" s="56">
        <v>30</v>
      </c>
      <c r="G243" s="24">
        <f t="shared" si="37"/>
        <v>24958.965634852299</v>
      </c>
      <c r="H243">
        <f t="shared" si="38"/>
        <v>699750</v>
      </c>
    </row>
    <row r="244" spans="1:12" x14ac:dyDescent="0.35">
      <c r="A244" t="s">
        <v>7</v>
      </c>
      <c r="B244">
        <v>6775</v>
      </c>
      <c r="C244" s="56">
        <v>25000</v>
      </c>
      <c r="D244">
        <f t="shared" ref="D244:D249" si="39">D243+C244-B244</f>
        <v>35050</v>
      </c>
      <c r="E244" s="6">
        <f>D243*1/31+((D243+C244+D244)/2)*30/31</f>
        <v>37740.322580645159</v>
      </c>
      <c r="F244" s="56">
        <v>31</v>
      </c>
      <c r="G244" s="24">
        <f t="shared" si="37"/>
        <v>6733.9656348522985</v>
      </c>
      <c r="H244">
        <f t="shared" si="38"/>
        <v>1169950</v>
      </c>
    </row>
    <row r="245" spans="1:12" x14ac:dyDescent="0.35">
      <c r="A245" t="s">
        <v>8</v>
      </c>
      <c r="B245">
        <v>3400</v>
      </c>
      <c r="C245" s="56">
        <v>0</v>
      </c>
      <c r="D245">
        <f t="shared" si="39"/>
        <v>31650</v>
      </c>
      <c r="E245" s="6">
        <f>(D244+C245+D245)/2</f>
        <v>33350</v>
      </c>
      <c r="F245" s="56">
        <v>31</v>
      </c>
      <c r="G245" s="24">
        <f t="shared" si="37"/>
        <v>10133.965634852299</v>
      </c>
      <c r="H245">
        <f t="shared" si="38"/>
        <v>1033850</v>
      </c>
    </row>
    <row r="246" spans="1:12" x14ac:dyDescent="0.35">
      <c r="A246" t="s">
        <v>9</v>
      </c>
      <c r="B246">
        <v>6750</v>
      </c>
      <c r="C246" s="56">
        <v>10150</v>
      </c>
      <c r="D246">
        <f t="shared" si="39"/>
        <v>35050</v>
      </c>
      <c r="E246" s="6">
        <f>D245*2/30+((D245+C246+D246)/2)*28/30</f>
        <v>37973.333333333336</v>
      </c>
      <c r="F246" s="56">
        <v>30</v>
      </c>
      <c r="G246" s="24">
        <f t="shared" si="37"/>
        <v>6733.9656348522985</v>
      </c>
      <c r="H246">
        <f t="shared" si="38"/>
        <v>1139200</v>
      </c>
    </row>
    <row r="247" spans="1:12" x14ac:dyDescent="0.35">
      <c r="A247" t="s">
        <v>10</v>
      </c>
      <c r="B247">
        <v>14500</v>
      </c>
      <c r="C247" s="56">
        <v>0</v>
      </c>
      <c r="D247">
        <f t="shared" si="39"/>
        <v>20550</v>
      </c>
      <c r="E247" s="6">
        <f t="shared" ref="E247:E248" si="40">(D246+C247+D247)/2</f>
        <v>27800</v>
      </c>
      <c r="F247" s="57">
        <v>31</v>
      </c>
      <c r="G247" s="24">
        <f t="shared" si="37"/>
        <v>21233.965634852299</v>
      </c>
      <c r="H247">
        <f t="shared" si="38"/>
        <v>861800</v>
      </c>
    </row>
    <row r="248" spans="1:12" x14ac:dyDescent="0.35">
      <c r="A248" t="s">
        <v>11</v>
      </c>
      <c r="B248">
        <v>9025</v>
      </c>
      <c r="C248" s="56">
        <v>21250</v>
      </c>
      <c r="D248">
        <f t="shared" si="39"/>
        <v>32775</v>
      </c>
      <c r="E248" s="6">
        <f t="shared" si="40"/>
        <v>37287.5</v>
      </c>
      <c r="F248" s="56">
        <v>30</v>
      </c>
      <c r="G248" s="24">
        <f t="shared" si="37"/>
        <v>9008.9656348522985</v>
      </c>
      <c r="H248">
        <f t="shared" si="38"/>
        <v>1118625</v>
      </c>
    </row>
    <row r="249" spans="1:12" x14ac:dyDescent="0.35">
      <c r="A249" t="s">
        <v>12</v>
      </c>
      <c r="B249">
        <v>14550</v>
      </c>
      <c r="C249" s="56">
        <v>0</v>
      </c>
      <c r="D249">
        <f t="shared" si="39"/>
        <v>18225</v>
      </c>
      <c r="E249" s="6">
        <f>D248*2/31+((D248+C249+D249)/2)*29/31</f>
        <v>25969.354838709678</v>
      </c>
      <c r="F249" s="56">
        <v>31</v>
      </c>
      <c r="H249">
        <f t="shared" si="38"/>
        <v>805050</v>
      </c>
      <c r="J249" s="56" t="s">
        <v>136</v>
      </c>
      <c r="K249" s="56"/>
      <c r="L249" s="56"/>
    </row>
    <row r="250" spans="1:12" x14ac:dyDescent="0.35">
      <c r="A250" s="81" t="s">
        <v>135</v>
      </c>
      <c r="B250" s="81"/>
      <c r="C250" s="81"/>
      <c r="D250" s="81"/>
      <c r="E250" s="81"/>
      <c r="F250" s="81"/>
      <c r="G250" s="81"/>
      <c r="H250" s="29">
        <f>SUM(H238:H249)/365</f>
        <v>27284.04109589041</v>
      </c>
      <c r="J250" s="6">
        <f>H250*4.09*0.8498</f>
        <v>94830.650524246579</v>
      </c>
      <c r="L250" s="61"/>
    </row>
    <row r="253" spans="1:12" x14ac:dyDescent="0.35">
      <c r="A253" s="2" t="s">
        <v>151</v>
      </c>
      <c r="B253" s="2">
        <v>99</v>
      </c>
      <c r="C253" s="2">
        <v>95</v>
      </c>
      <c r="D253" s="2">
        <v>90</v>
      </c>
      <c r="E253" s="2">
        <v>80</v>
      </c>
    </row>
    <row r="254" spans="1:12" x14ac:dyDescent="0.35">
      <c r="A254" s="2" t="s">
        <v>208</v>
      </c>
      <c r="B254" s="60">
        <v>36871.483273972597</v>
      </c>
      <c r="C254" s="60">
        <v>36871.483273972597</v>
      </c>
      <c r="D254" s="60">
        <v>36871.483273972597</v>
      </c>
      <c r="E254" s="60">
        <v>36871.483273972597</v>
      </c>
    </row>
    <row r="255" spans="1:12" x14ac:dyDescent="0.35">
      <c r="A255" s="2" t="s">
        <v>207</v>
      </c>
      <c r="B255" s="18">
        <f>J186</f>
        <v>60832.171963356159</v>
      </c>
      <c r="C255" s="18">
        <f>J202</f>
        <v>50043.750259520544</v>
      </c>
      <c r="D255" s="18">
        <f>J218</f>
        <v>44303.756660684929</v>
      </c>
      <c r="E255" s="18">
        <f>J234</f>
        <v>37318.945172945198</v>
      </c>
    </row>
    <row r="256" spans="1:12" x14ac:dyDescent="0.35">
      <c r="A256" s="2" t="s">
        <v>137</v>
      </c>
      <c r="B256" s="2">
        <v>1000</v>
      </c>
      <c r="C256" s="2">
        <v>1000</v>
      </c>
      <c r="D256" s="2">
        <v>1000</v>
      </c>
      <c r="E256" s="2">
        <v>1000</v>
      </c>
    </row>
    <row r="257" spans="1:5" x14ac:dyDescent="0.35">
      <c r="A257" s="2" t="s">
        <v>138</v>
      </c>
      <c r="B257" s="18">
        <f>SUM(B254:B256)</f>
        <v>98703.655237328756</v>
      </c>
      <c r="C257" s="18">
        <f t="shared" ref="C257:E257" si="41">SUM(C254:C256)</f>
        <v>87915.233533493141</v>
      </c>
      <c r="D257" s="18">
        <f t="shared" si="41"/>
        <v>82175.239934657526</v>
      </c>
      <c r="E257" s="18">
        <f t="shared" si="41"/>
        <v>75190.428446917795</v>
      </c>
    </row>
  </sheetData>
  <mergeCells count="40">
    <mergeCell ref="A236:H236"/>
    <mergeCell ref="A250:G250"/>
    <mergeCell ref="A202:G202"/>
    <mergeCell ref="A204:H204"/>
    <mergeCell ref="A218:G218"/>
    <mergeCell ref="A220:H220"/>
    <mergeCell ref="A234:G234"/>
    <mergeCell ref="A19:A20"/>
    <mergeCell ref="F19:F20"/>
    <mergeCell ref="A24:H24"/>
    <mergeCell ref="A188:H188"/>
    <mergeCell ref="A169:G169"/>
    <mergeCell ref="A139:H139"/>
    <mergeCell ref="A153:G153"/>
    <mergeCell ref="A155:H155"/>
    <mergeCell ref="D90:E90"/>
    <mergeCell ref="D171:E171"/>
    <mergeCell ref="A172:H172"/>
    <mergeCell ref="A186:G186"/>
    <mergeCell ref="A107:H107"/>
    <mergeCell ref="A121:G121"/>
    <mergeCell ref="A123:H123"/>
    <mergeCell ref="A137:G137"/>
    <mergeCell ref="A53:G53"/>
    <mergeCell ref="A91:H91"/>
    <mergeCell ref="A105:G105"/>
    <mergeCell ref="A88:G88"/>
    <mergeCell ref="A55:H55"/>
    <mergeCell ref="A2:A3"/>
    <mergeCell ref="F2:F3"/>
    <mergeCell ref="F4:F5"/>
    <mergeCell ref="A4:A5"/>
    <mergeCell ref="A6:A7"/>
    <mergeCell ref="F6:F7"/>
    <mergeCell ref="A9:A10"/>
    <mergeCell ref="F9:F10"/>
    <mergeCell ref="A11:A12"/>
    <mergeCell ref="F11:F12"/>
    <mergeCell ref="A14:A15"/>
    <mergeCell ref="F14:F1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F1210-4CF5-454C-B2D4-4DE7EFA904BE}">
  <dimension ref="A1:G61"/>
  <sheetViews>
    <sheetView workbookViewId="0">
      <selection activeCell="C1" sqref="C1"/>
    </sheetView>
  </sheetViews>
  <sheetFormatPr defaultRowHeight="14.5" x14ac:dyDescent="0.35"/>
  <cols>
    <col min="3" max="3" width="13.81640625" bestFit="1" customWidth="1"/>
  </cols>
  <sheetData>
    <row r="1" spans="1:3" x14ac:dyDescent="0.35">
      <c r="A1" t="s">
        <v>13</v>
      </c>
      <c r="B1" t="s">
        <v>14</v>
      </c>
      <c r="C1" t="s">
        <v>141</v>
      </c>
    </row>
    <row r="2" spans="1:3" x14ac:dyDescent="0.35">
      <c r="A2">
        <v>2017</v>
      </c>
      <c r="B2" t="s">
        <v>1</v>
      </c>
      <c r="C2">
        <v>2860</v>
      </c>
    </row>
    <row r="3" spans="1:3" x14ac:dyDescent="0.35">
      <c r="B3" t="s">
        <v>2</v>
      </c>
      <c r="C3">
        <v>0</v>
      </c>
    </row>
    <row r="4" spans="1:3" x14ac:dyDescent="0.35">
      <c r="B4" t="s">
        <v>3</v>
      </c>
      <c r="C4">
        <v>1375</v>
      </c>
    </row>
    <row r="5" spans="1:3" x14ac:dyDescent="0.35">
      <c r="B5" t="s">
        <v>4</v>
      </c>
      <c r="C5">
        <v>1320</v>
      </c>
    </row>
    <row r="6" spans="1:3" x14ac:dyDescent="0.35">
      <c r="B6" t="s">
        <v>5</v>
      </c>
      <c r="C6">
        <v>880</v>
      </c>
    </row>
    <row r="7" spans="1:3" x14ac:dyDescent="0.35">
      <c r="B7" t="s">
        <v>6</v>
      </c>
      <c r="C7">
        <v>1760</v>
      </c>
    </row>
    <row r="8" spans="1:3" x14ac:dyDescent="0.35">
      <c r="B8" t="s">
        <v>7</v>
      </c>
      <c r="C8">
        <v>770</v>
      </c>
    </row>
    <row r="9" spans="1:3" x14ac:dyDescent="0.35">
      <c r="B9" t="s">
        <v>8</v>
      </c>
      <c r="C9">
        <v>1760</v>
      </c>
    </row>
    <row r="10" spans="1:3" x14ac:dyDescent="0.35">
      <c r="B10" t="s">
        <v>9</v>
      </c>
      <c r="C10">
        <v>3180</v>
      </c>
    </row>
    <row r="11" spans="1:3" x14ac:dyDescent="0.35">
      <c r="B11" t="s">
        <v>10</v>
      </c>
      <c r="C11">
        <v>2200</v>
      </c>
    </row>
    <row r="12" spans="1:3" x14ac:dyDescent="0.35">
      <c r="B12" t="s">
        <v>11</v>
      </c>
      <c r="C12">
        <v>4070</v>
      </c>
    </row>
    <row r="13" spans="1:3" x14ac:dyDescent="0.35">
      <c r="B13" t="s">
        <v>12</v>
      </c>
      <c r="C13">
        <v>2145</v>
      </c>
    </row>
    <row r="14" spans="1:3" x14ac:dyDescent="0.35">
      <c r="A14">
        <v>2018</v>
      </c>
      <c r="B14" t="s">
        <v>1</v>
      </c>
      <c r="C14">
        <v>0</v>
      </c>
    </row>
    <row r="15" spans="1:3" x14ac:dyDescent="0.35">
      <c r="B15" t="s">
        <v>2</v>
      </c>
      <c r="C15">
        <v>0</v>
      </c>
    </row>
    <row r="16" spans="1:3" x14ac:dyDescent="0.35">
      <c r="B16" t="s">
        <v>3</v>
      </c>
      <c r="C16">
        <v>1100</v>
      </c>
    </row>
    <row r="17" spans="1:7" x14ac:dyDescent="0.35">
      <c r="B17" t="s">
        <v>4</v>
      </c>
      <c r="C17">
        <v>1760</v>
      </c>
    </row>
    <row r="18" spans="1:7" x14ac:dyDescent="0.35">
      <c r="B18" t="s">
        <v>5</v>
      </c>
      <c r="C18">
        <v>1815</v>
      </c>
    </row>
    <row r="19" spans="1:7" x14ac:dyDescent="0.35">
      <c r="B19" t="s">
        <v>6</v>
      </c>
      <c r="C19">
        <v>2860</v>
      </c>
    </row>
    <row r="20" spans="1:7" x14ac:dyDescent="0.35">
      <c r="B20" t="s">
        <v>7</v>
      </c>
      <c r="C20">
        <v>1540</v>
      </c>
    </row>
    <row r="21" spans="1:7" x14ac:dyDescent="0.35">
      <c r="B21" t="s">
        <v>8</v>
      </c>
      <c r="C21">
        <v>880</v>
      </c>
    </row>
    <row r="22" spans="1:7" x14ac:dyDescent="0.35">
      <c r="B22" t="s">
        <v>9</v>
      </c>
      <c r="C22">
        <v>1815</v>
      </c>
    </row>
    <row r="23" spans="1:7" x14ac:dyDescent="0.35">
      <c r="B23" t="s">
        <v>10</v>
      </c>
      <c r="C23">
        <v>3080</v>
      </c>
      <c r="E23" t="s">
        <v>13</v>
      </c>
      <c r="F23" t="s">
        <v>14</v>
      </c>
      <c r="G23" t="s">
        <v>141</v>
      </c>
    </row>
    <row r="24" spans="1:7" x14ac:dyDescent="0.35">
      <c r="B24" t="s">
        <v>11</v>
      </c>
      <c r="C24">
        <v>2310</v>
      </c>
      <c r="E24">
        <v>2017</v>
      </c>
      <c r="F24" t="s">
        <v>1</v>
      </c>
      <c r="G24">
        <v>2860</v>
      </c>
    </row>
    <row r="25" spans="1:7" x14ac:dyDescent="0.35">
      <c r="B25" t="s">
        <v>12</v>
      </c>
      <c r="C25">
        <v>3630</v>
      </c>
      <c r="F25" t="s">
        <v>2</v>
      </c>
      <c r="G25">
        <v>0</v>
      </c>
    </row>
    <row r="26" spans="1:7" x14ac:dyDescent="0.35">
      <c r="A26">
        <v>2019</v>
      </c>
      <c r="B26" t="s">
        <v>1</v>
      </c>
      <c r="C26">
        <v>0</v>
      </c>
      <c r="E26">
        <v>2018</v>
      </c>
      <c r="F26" t="s">
        <v>1</v>
      </c>
      <c r="G26">
        <v>0</v>
      </c>
    </row>
    <row r="27" spans="1:7" x14ac:dyDescent="0.35">
      <c r="B27" t="s">
        <v>2</v>
      </c>
      <c r="C27">
        <v>165</v>
      </c>
      <c r="F27" t="s">
        <v>2</v>
      </c>
      <c r="G27">
        <v>0</v>
      </c>
    </row>
    <row r="28" spans="1:7" x14ac:dyDescent="0.35">
      <c r="B28" t="s">
        <v>3</v>
      </c>
      <c r="C28">
        <v>440</v>
      </c>
      <c r="E28">
        <v>2019</v>
      </c>
      <c r="F28" t="s">
        <v>1</v>
      </c>
      <c r="G28">
        <v>0</v>
      </c>
    </row>
    <row r="29" spans="1:7" x14ac:dyDescent="0.35">
      <c r="B29" t="s">
        <v>4</v>
      </c>
      <c r="C29">
        <v>385</v>
      </c>
      <c r="F29" t="s">
        <v>2</v>
      </c>
      <c r="G29">
        <v>165</v>
      </c>
    </row>
    <row r="30" spans="1:7" x14ac:dyDescent="0.35">
      <c r="B30" t="s">
        <v>5</v>
      </c>
      <c r="C30">
        <v>1485</v>
      </c>
      <c r="E30">
        <v>2020</v>
      </c>
      <c r="F30" t="s">
        <v>1</v>
      </c>
      <c r="G30">
        <v>0</v>
      </c>
    </row>
    <row r="31" spans="1:7" x14ac:dyDescent="0.35">
      <c r="B31" t="s">
        <v>6</v>
      </c>
      <c r="C31">
        <v>715</v>
      </c>
      <c r="F31" t="s">
        <v>2</v>
      </c>
      <c r="G31">
        <v>660</v>
      </c>
    </row>
    <row r="32" spans="1:7" x14ac:dyDescent="0.35">
      <c r="B32" t="s">
        <v>7</v>
      </c>
      <c r="C32">
        <v>3300</v>
      </c>
      <c r="E32">
        <v>2021</v>
      </c>
      <c r="F32" t="s">
        <v>1</v>
      </c>
      <c r="G32">
        <v>0</v>
      </c>
    </row>
    <row r="33" spans="1:7" x14ac:dyDescent="0.35">
      <c r="B33" t="s">
        <v>8</v>
      </c>
      <c r="C33">
        <v>1155</v>
      </c>
      <c r="F33" t="s">
        <v>2</v>
      </c>
      <c r="G33">
        <v>0</v>
      </c>
    </row>
    <row r="34" spans="1:7" x14ac:dyDescent="0.35">
      <c r="B34" t="s">
        <v>9</v>
      </c>
      <c r="C34">
        <v>1485</v>
      </c>
    </row>
    <row r="35" spans="1:7" x14ac:dyDescent="0.35">
      <c r="B35" t="s">
        <v>10</v>
      </c>
      <c r="C35">
        <v>440</v>
      </c>
    </row>
    <row r="36" spans="1:7" x14ac:dyDescent="0.35">
      <c r="B36" t="s">
        <v>11</v>
      </c>
      <c r="C36">
        <v>2090</v>
      </c>
    </row>
    <row r="37" spans="1:7" x14ac:dyDescent="0.35">
      <c r="B37" t="s">
        <v>12</v>
      </c>
      <c r="C37">
        <v>2420</v>
      </c>
    </row>
    <row r="38" spans="1:7" x14ac:dyDescent="0.35">
      <c r="A38">
        <v>2020</v>
      </c>
      <c r="B38" t="s">
        <v>1</v>
      </c>
      <c r="C38">
        <v>0</v>
      </c>
    </row>
    <row r="39" spans="1:7" x14ac:dyDescent="0.35">
      <c r="B39" t="s">
        <v>2</v>
      </c>
      <c r="C39">
        <v>660</v>
      </c>
    </row>
    <row r="40" spans="1:7" x14ac:dyDescent="0.35">
      <c r="B40" t="s">
        <v>3</v>
      </c>
      <c r="C40">
        <v>2805</v>
      </c>
    </row>
    <row r="41" spans="1:7" x14ac:dyDescent="0.35">
      <c r="B41" t="s">
        <v>4</v>
      </c>
      <c r="C41">
        <v>1155</v>
      </c>
    </row>
    <row r="42" spans="1:7" x14ac:dyDescent="0.35">
      <c r="B42" t="s">
        <v>5</v>
      </c>
      <c r="C42">
        <v>1870</v>
      </c>
    </row>
    <row r="43" spans="1:7" x14ac:dyDescent="0.35">
      <c r="B43" t="s">
        <v>6</v>
      </c>
      <c r="C43">
        <v>2475</v>
      </c>
    </row>
    <row r="44" spans="1:7" x14ac:dyDescent="0.35">
      <c r="B44" t="s">
        <v>7</v>
      </c>
      <c r="C44">
        <v>2420</v>
      </c>
    </row>
    <row r="45" spans="1:7" x14ac:dyDescent="0.35">
      <c r="B45" t="s">
        <v>8</v>
      </c>
      <c r="C45">
        <v>1375</v>
      </c>
    </row>
    <row r="46" spans="1:7" x14ac:dyDescent="0.35">
      <c r="B46" t="s">
        <v>9</v>
      </c>
      <c r="C46">
        <v>2915</v>
      </c>
    </row>
    <row r="47" spans="1:7" x14ac:dyDescent="0.35">
      <c r="B47" t="s">
        <v>10</v>
      </c>
      <c r="C47">
        <v>2365</v>
      </c>
    </row>
    <row r="48" spans="1:7" x14ac:dyDescent="0.35">
      <c r="B48" t="s">
        <v>11</v>
      </c>
      <c r="C48">
        <v>2310</v>
      </c>
    </row>
    <row r="49" spans="1:3" x14ac:dyDescent="0.35">
      <c r="B49" t="s">
        <v>12</v>
      </c>
      <c r="C49">
        <v>1430</v>
      </c>
    </row>
    <row r="50" spans="1:3" x14ac:dyDescent="0.35">
      <c r="A50">
        <v>2021</v>
      </c>
      <c r="B50" t="s">
        <v>1</v>
      </c>
      <c r="C50">
        <v>0</v>
      </c>
    </row>
    <row r="51" spans="1:3" x14ac:dyDescent="0.35">
      <c r="B51" t="s">
        <v>2</v>
      </c>
      <c r="C51">
        <v>0</v>
      </c>
    </row>
    <row r="52" spans="1:3" x14ac:dyDescent="0.35">
      <c r="B52" t="s">
        <v>3</v>
      </c>
      <c r="C52">
        <v>825</v>
      </c>
    </row>
    <row r="53" spans="1:3" x14ac:dyDescent="0.35">
      <c r="B53" t="s">
        <v>4</v>
      </c>
      <c r="C53">
        <v>2915</v>
      </c>
    </row>
    <row r="54" spans="1:3" x14ac:dyDescent="0.35">
      <c r="B54" t="s">
        <v>5</v>
      </c>
      <c r="C54">
        <v>165</v>
      </c>
    </row>
    <row r="55" spans="1:3" x14ac:dyDescent="0.35">
      <c r="B55" t="s">
        <v>6</v>
      </c>
      <c r="C55">
        <v>1815</v>
      </c>
    </row>
    <row r="56" spans="1:3" x14ac:dyDescent="0.35">
      <c r="B56" t="s">
        <v>7</v>
      </c>
      <c r="C56">
        <v>1870</v>
      </c>
    </row>
    <row r="57" spans="1:3" x14ac:dyDescent="0.35">
      <c r="B57" t="s">
        <v>8</v>
      </c>
      <c r="C57">
        <v>1980</v>
      </c>
    </row>
    <row r="58" spans="1:3" x14ac:dyDescent="0.35">
      <c r="B58" t="s">
        <v>9</v>
      </c>
      <c r="C58">
        <v>2035</v>
      </c>
    </row>
    <row r="59" spans="1:3" x14ac:dyDescent="0.35">
      <c r="B59" t="s">
        <v>10</v>
      </c>
      <c r="C59">
        <v>1045</v>
      </c>
    </row>
    <row r="60" spans="1:3" x14ac:dyDescent="0.35">
      <c r="B60" t="s">
        <v>11</v>
      </c>
      <c r="C60">
        <v>550</v>
      </c>
    </row>
    <row r="61" spans="1:3" x14ac:dyDescent="0.35">
      <c r="B61" t="s">
        <v>12</v>
      </c>
      <c r="C61">
        <v>1375</v>
      </c>
    </row>
  </sheetData>
  <phoneticPr fontId="7" type="noConversion"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1170F-4BAA-410F-9EB0-E434A0FA63C7}">
  <dimension ref="A1:M33"/>
  <sheetViews>
    <sheetView workbookViewId="0">
      <selection activeCell="B1" sqref="B1:H1"/>
    </sheetView>
  </sheetViews>
  <sheetFormatPr defaultRowHeight="14.5" x14ac:dyDescent="0.35"/>
  <cols>
    <col min="1" max="1" width="2.81640625" bestFit="1" customWidth="1"/>
    <col min="2" max="2" width="12.26953125" bestFit="1" customWidth="1"/>
    <col min="3" max="3" width="11.54296875" bestFit="1" customWidth="1"/>
    <col min="4" max="4" width="12.7265625" bestFit="1" customWidth="1"/>
    <col min="5" max="5" width="10.81640625" bestFit="1" customWidth="1"/>
    <col min="6" max="6" width="13.1796875" bestFit="1" customWidth="1"/>
    <col min="7" max="7" width="11.90625" bestFit="1" customWidth="1"/>
    <col min="8" max="8" width="12.7265625" bestFit="1" customWidth="1"/>
    <col min="9" max="9" width="11.81640625" bestFit="1" customWidth="1"/>
    <col min="11" max="12" width="11.81640625" bestFit="1" customWidth="1"/>
    <col min="13" max="13" width="8.08984375" bestFit="1" customWidth="1"/>
  </cols>
  <sheetData>
    <row r="1" spans="1:13" x14ac:dyDescent="0.35">
      <c r="A1" s="64" t="s">
        <v>58</v>
      </c>
      <c r="B1" s="66" t="s">
        <v>209</v>
      </c>
      <c r="C1" s="65"/>
      <c r="D1" s="65"/>
      <c r="E1" s="65"/>
      <c r="F1" s="65"/>
      <c r="G1" s="65"/>
      <c r="H1" s="65"/>
    </row>
    <row r="2" spans="1:13" ht="25" x14ac:dyDescent="0.35">
      <c r="A2" s="65"/>
      <c r="B2" s="9" t="s">
        <v>59</v>
      </c>
      <c r="C2" s="9" t="s">
        <v>60</v>
      </c>
      <c r="D2" s="9" t="s">
        <v>61</v>
      </c>
      <c r="E2" s="9" t="s">
        <v>62</v>
      </c>
      <c r="F2" s="9" t="s">
        <v>63</v>
      </c>
      <c r="G2" s="9" t="s">
        <v>64</v>
      </c>
      <c r="H2" s="9" t="s">
        <v>65</v>
      </c>
      <c r="I2" s="63" t="s">
        <v>210</v>
      </c>
      <c r="K2" s="17" t="s">
        <v>97</v>
      </c>
      <c r="L2" s="17" t="s">
        <v>98</v>
      </c>
      <c r="M2" s="17" t="s">
        <v>99</v>
      </c>
    </row>
    <row r="3" spans="1:13" x14ac:dyDescent="0.35">
      <c r="A3" s="10" t="s">
        <v>66</v>
      </c>
      <c r="B3" s="11">
        <v>8.3333333333333329E-2</v>
      </c>
      <c r="C3" s="12">
        <v>12</v>
      </c>
      <c r="D3" s="16">
        <v>-377.15250411864935</v>
      </c>
      <c r="E3" s="16">
        <v>-482.9573308380655</v>
      </c>
      <c r="F3" s="15">
        <v>11264753.843195893</v>
      </c>
      <c r="G3" s="15">
        <v>5644975.4781564539</v>
      </c>
      <c r="H3" s="11"/>
      <c r="I3">
        <f>2*PI()*B3</f>
        <v>0.52359877559829882</v>
      </c>
      <c r="K3">
        <f>MAX(F3:$F$33)/SUM(F3:$F$33)</f>
        <v>0.17724477111010609</v>
      </c>
      <c r="L3">
        <f>M3*(1-K3)^(M3-1)</f>
        <v>0.10470565443800808</v>
      </c>
      <c r="M3">
        <v>30</v>
      </c>
    </row>
    <row r="4" spans="1:13" x14ac:dyDescent="0.35">
      <c r="A4" s="10" t="s">
        <v>67</v>
      </c>
      <c r="B4" s="11">
        <v>0.16666666666666666</v>
      </c>
      <c r="C4" s="12">
        <v>6</v>
      </c>
      <c r="D4" s="16">
        <v>-248.92497916088504</v>
      </c>
      <c r="E4" s="16">
        <v>-358.69325239635958</v>
      </c>
      <c r="F4" s="15">
        <v>5718734.8369477671</v>
      </c>
      <c r="G4" s="15">
        <v>3826553.5068279058</v>
      </c>
      <c r="H4" s="11"/>
      <c r="I4">
        <f>2*PI()*B4</f>
        <v>1.0471975511965976</v>
      </c>
      <c r="K4">
        <f>MAX(F4:$F$33)/SUM(F4:$F$33)</f>
        <v>0.10936567425521618</v>
      </c>
      <c r="L4">
        <f t="shared" ref="L4:L8" si="0">M4*(1-K4)^(M4-1)</f>
        <v>1.1323534681711045</v>
      </c>
      <c r="M4">
        <v>29</v>
      </c>
    </row>
    <row r="5" spans="1:13" x14ac:dyDescent="0.35">
      <c r="A5" s="10" t="s">
        <v>68</v>
      </c>
      <c r="B5" s="11">
        <v>0.13333333333333333</v>
      </c>
      <c r="C5" s="12">
        <v>7.5</v>
      </c>
      <c r="D5" s="16">
        <v>379.08094550738792</v>
      </c>
      <c r="E5" s="16">
        <v>183.86497148128365</v>
      </c>
      <c r="F5" s="15">
        <v>5325260.7295376537</v>
      </c>
      <c r="G5" s="15">
        <v>3543407.8187464708</v>
      </c>
      <c r="H5" s="11"/>
      <c r="I5">
        <f>2*PI()*B5</f>
        <v>0.83775804095727813</v>
      </c>
      <c r="K5">
        <f>MAX(F5:$F$33)/SUM(F5:$F$33)</f>
        <v>0.11434640675688153</v>
      </c>
      <c r="L5">
        <f t="shared" si="0"/>
        <v>1.055074273854737</v>
      </c>
      <c r="M5">
        <v>28</v>
      </c>
    </row>
    <row r="6" spans="1:13" x14ac:dyDescent="0.35">
      <c r="A6" s="10" t="s">
        <v>69</v>
      </c>
      <c r="B6" s="11">
        <v>0.33333333333333331</v>
      </c>
      <c r="C6" s="12">
        <v>3</v>
      </c>
      <c r="D6" s="16">
        <v>-91.258312494239405</v>
      </c>
      <c r="E6" s="16">
        <v>-379.56448869051252</v>
      </c>
      <c r="F6" s="15">
        <v>4571918.4202255942</v>
      </c>
      <c r="G6" s="15">
        <v>2479931.3516996172</v>
      </c>
      <c r="H6" s="11"/>
      <c r="K6">
        <f>MAX(F6:$F$33)/SUM(F6:$F$33)</f>
        <v>0.11084503098951415</v>
      </c>
      <c r="L6">
        <f t="shared" si="0"/>
        <v>1.2728514473959414</v>
      </c>
      <c r="M6">
        <v>27</v>
      </c>
    </row>
    <row r="7" spans="1:13" x14ac:dyDescent="0.35">
      <c r="A7" s="10" t="s">
        <v>70</v>
      </c>
      <c r="B7" s="11">
        <v>0.43333333333333335</v>
      </c>
      <c r="C7" s="12">
        <v>2.3076923076923075</v>
      </c>
      <c r="D7" s="16">
        <v>328.3841144802027</v>
      </c>
      <c r="E7" s="16">
        <v>165.48901800162835</v>
      </c>
      <c r="F7" s="15">
        <v>4056682.2516627042</v>
      </c>
      <c r="G7" s="15">
        <v>2179642.6599380546</v>
      </c>
      <c r="H7" s="11"/>
      <c r="K7">
        <f>MAX(F7:$F$33)/SUM(F7:$F$33)</f>
        <v>0.11061430344748494</v>
      </c>
      <c r="L7">
        <f t="shared" si="0"/>
        <v>1.387480425609501</v>
      </c>
      <c r="M7">
        <v>26</v>
      </c>
    </row>
    <row r="8" spans="1:13" x14ac:dyDescent="0.35">
      <c r="A8" s="10" t="s">
        <v>71</v>
      </c>
      <c r="B8" s="11">
        <v>0.15</v>
      </c>
      <c r="C8" s="12">
        <v>6.666666666666667</v>
      </c>
      <c r="D8" s="16">
        <v>-245.11312142713379</v>
      </c>
      <c r="E8" s="16">
        <v>221.381065681904</v>
      </c>
      <c r="F8" s="15">
        <v>3272700.5561462501</v>
      </c>
      <c r="G8" s="15">
        <v>4172796.9796171454</v>
      </c>
      <c r="H8" s="11"/>
      <c r="K8">
        <f>MAX(F8:$F$33)/SUM(F8:$F$33)</f>
        <v>0.100335917533465</v>
      </c>
      <c r="L8">
        <f t="shared" si="0"/>
        <v>1.9763742438613574</v>
      </c>
      <c r="M8">
        <v>25</v>
      </c>
    </row>
    <row r="9" spans="1:13" x14ac:dyDescent="0.35">
      <c r="A9" s="10" t="s">
        <v>72</v>
      </c>
      <c r="B9" s="11">
        <v>0.46666666666666667</v>
      </c>
      <c r="C9" s="12">
        <v>2.1428571428571428</v>
      </c>
      <c r="D9" s="16">
        <v>159.2809933350745</v>
      </c>
      <c r="E9" s="16">
        <v>-289.15494238978994</v>
      </c>
      <c r="F9" s="15">
        <v>3269430.4663875233</v>
      </c>
      <c r="G9" s="15">
        <v>1678296.1329877179</v>
      </c>
      <c r="H9" s="11"/>
    </row>
    <row r="10" spans="1:13" x14ac:dyDescent="0.35">
      <c r="A10" s="10" t="s">
        <v>73</v>
      </c>
      <c r="B10" s="11">
        <v>0.25</v>
      </c>
      <c r="C10" s="12">
        <v>4</v>
      </c>
      <c r="D10" s="16">
        <v>-245.75831249422126</v>
      </c>
      <c r="E10" s="16">
        <v>-206.92497916086415</v>
      </c>
      <c r="F10" s="15">
        <v>3096452.8548219413</v>
      </c>
      <c r="G10" s="15">
        <v>2072733.8063757427</v>
      </c>
      <c r="H10" s="11"/>
    </row>
    <row r="11" spans="1:13" x14ac:dyDescent="0.35">
      <c r="A11" s="10" t="s">
        <v>74</v>
      </c>
      <c r="B11" s="11">
        <v>0.4</v>
      </c>
      <c r="C11" s="12">
        <v>2.5</v>
      </c>
      <c r="D11" s="16">
        <v>261.30602605923724</v>
      </c>
      <c r="E11" s="16">
        <v>147.64553941679983</v>
      </c>
      <c r="F11" s="15">
        <v>2702401.3369364571</v>
      </c>
      <c r="G11" s="15">
        <v>1752998.8382474005</v>
      </c>
      <c r="H11" s="11"/>
    </row>
    <row r="12" spans="1:13" x14ac:dyDescent="0.35">
      <c r="A12" s="10" t="s">
        <v>75</v>
      </c>
      <c r="B12" s="11">
        <v>0.2</v>
      </c>
      <c r="C12" s="12">
        <v>5</v>
      </c>
      <c r="D12" s="16">
        <v>271.92734895235657</v>
      </c>
      <c r="E12" s="16">
        <v>76.839451042706457</v>
      </c>
      <c r="F12" s="15">
        <v>2395463.5303440355</v>
      </c>
      <c r="G12" s="15">
        <v>1723104.6880587155</v>
      </c>
      <c r="H12" s="11"/>
    </row>
    <row r="13" spans="1:13" x14ac:dyDescent="0.35">
      <c r="A13" s="10" t="s">
        <v>76</v>
      </c>
      <c r="B13" s="11">
        <v>3.3333333333333333E-2</v>
      </c>
      <c r="C13" s="12">
        <v>30</v>
      </c>
      <c r="D13" s="16">
        <v>-249.4051873240563</v>
      </c>
      <c r="E13" s="16">
        <v>111.97111560653691</v>
      </c>
      <c r="F13" s="15">
        <v>2242214.3458296019</v>
      </c>
      <c r="G13" s="15">
        <v>1210235.9888016901</v>
      </c>
      <c r="H13" s="11">
        <v>0.44642857142857101</v>
      </c>
    </row>
    <row r="14" spans="1:13" x14ac:dyDescent="0.35">
      <c r="A14" s="10" t="s">
        <v>77</v>
      </c>
      <c r="B14" s="11">
        <v>0.3</v>
      </c>
      <c r="C14" s="12">
        <v>3.3333333333333335</v>
      </c>
      <c r="D14" s="16">
        <v>104.26745780133116</v>
      </c>
      <c r="E14" s="16">
        <v>243.9498912255753</v>
      </c>
      <c r="F14" s="15">
        <v>2111497.5655596722</v>
      </c>
      <c r="G14" s="15">
        <v>1619818.0844977479</v>
      </c>
      <c r="H14" s="11"/>
    </row>
    <row r="15" spans="1:13" x14ac:dyDescent="0.35">
      <c r="A15" s="10" t="s">
        <v>78</v>
      </c>
      <c r="B15" s="11">
        <v>0.23333333333333334</v>
      </c>
      <c r="C15" s="12">
        <v>4.2857142857142856</v>
      </c>
      <c r="D15" s="16">
        <v>235.35307595270203</v>
      </c>
      <c r="E15" s="16">
        <v>-79.991005964196518</v>
      </c>
      <c r="F15" s="15">
        <v>1853688.9418668735</v>
      </c>
      <c r="G15" s="15">
        <v>1859779.2843478001</v>
      </c>
      <c r="H15" s="11"/>
    </row>
    <row r="16" spans="1:13" x14ac:dyDescent="0.35">
      <c r="A16" s="10" t="s">
        <v>79</v>
      </c>
      <c r="B16" s="11">
        <v>0.1</v>
      </c>
      <c r="C16" s="12">
        <v>10</v>
      </c>
      <c r="D16" s="16">
        <v>196.13258387693625</v>
      </c>
      <c r="E16" s="16">
        <v>81.96431980952994</v>
      </c>
      <c r="F16" s="15">
        <v>1355584.2054024702</v>
      </c>
      <c r="G16" s="15">
        <v>3671807.7015433982</v>
      </c>
      <c r="H16" s="11"/>
    </row>
    <row r="17" spans="1:8" x14ac:dyDescent="0.35">
      <c r="A17" s="10" t="s">
        <v>80</v>
      </c>
      <c r="B17" s="11">
        <v>0.28333333333333333</v>
      </c>
      <c r="C17" s="12">
        <v>3.5294117647058822</v>
      </c>
      <c r="D17" s="16">
        <v>41.926942701141726</v>
      </c>
      <c r="E17" s="16">
        <v>-196.9059437863626</v>
      </c>
      <c r="F17" s="15">
        <v>1215894.57667989</v>
      </c>
      <c r="G17" s="15">
        <v>1365558.4686606233</v>
      </c>
      <c r="H17" s="11"/>
    </row>
    <row r="18" spans="1:8" x14ac:dyDescent="0.35">
      <c r="A18" s="10" t="s">
        <v>81</v>
      </c>
      <c r="B18" s="11">
        <v>0.36666666666666664</v>
      </c>
      <c r="C18" s="12">
        <v>2.7272727272727275</v>
      </c>
      <c r="D18" s="16">
        <v>68.718080247635726</v>
      </c>
      <c r="E18" s="16">
        <v>-184.21735188375877</v>
      </c>
      <c r="F18" s="15">
        <v>1159746.2186395531</v>
      </c>
      <c r="G18" s="15">
        <v>1122881.2364145617</v>
      </c>
      <c r="H18" s="11"/>
    </row>
    <row r="19" spans="1:8" x14ac:dyDescent="0.35">
      <c r="A19" s="10" t="s">
        <v>82</v>
      </c>
      <c r="B19" s="11">
        <v>6.6666666666666666E-2</v>
      </c>
      <c r="C19" s="12">
        <v>15</v>
      </c>
      <c r="D19" s="16">
        <v>-146.88270005448115</v>
      </c>
      <c r="E19" s="16">
        <v>-111.29780889911696</v>
      </c>
      <c r="F19" s="15">
        <v>1018851.895231171</v>
      </c>
      <c r="G19" s="15">
        <v>3469194.2389517059</v>
      </c>
      <c r="H19" s="11">
        <v>3.5714285714285691E-2</v>
      </c>
    </row>
    <row r="20" spans="1:8" x14ac:dyDescent="0.35">
      <c r="A20" s="10" t="s">
        <v>83</v>
      </c>
      <c r="B20" s="11">
        <v>0.38333333333333336</v>
      </c>
      <c r="C20" s="12">
        <v>2.6086956521739131</v>
      </c>
      <c r="D20" s="16">
        <v>-2.7801283569291995</v>
      </c>
      <c r="E20" s="16">
        <v>-173.69270311745211</v>
      </c>
      <c r="F20" s="15">
        <v>905306.5268978508</v>
      </c>
      <c r="G20" s="15">
        <v>1375078.0291703055</v>
      </c>
      <c r="H20" s="11"/>
    </row>
    <row r="21" spans="1:8" x14ac:dyDescent="0.35">
      <c r="A21" s="10" t="s">
        <v>84</v>
      </c>
      <c r="B21" s="11">
        <v>0.18333333333333332</v>
      </c>
      <c r="C21" s="12">
        <v>5.454545454545455</v>
      </c>
      <c r="D21" s="16">
        <v>147.24669074043001</v>
      </c>
      <c r="E21" s="16">
        <v>84.833552610612585</v>
      </c>
      <c r="F21" s="15">
        <v>866349.58747636236</v>
      </c>
      <c r="G21" s="15">
        <v>2485584.6134873107</v>
      </c>
      <c r="H21" s="11"/>
    </row>
    <row r="22" spans="1:8" x14ac:dyDescent="0.35">
      <c r="A22" s="10" t="s">
        <v>85</v>
      </c>
      <c r="B22" s="11">
        <v>0.31666666666666665</v>
      </c>
      <c r="C22" s="12">
        <v>3.1578947368421053</v>
      </c>
      <c r="D22" s="16">
        <v>157.45647427776785</v>
      </c>
      <c r="E22" s="16">
        <v>46.542486951349836</v>
      </c>
      <c r="F22" s="15">
        <v>808762.33150805824</v>
      </c>
      <c r="G22" s="15">
        <v>2034489.2012635649</v>
      </c>
      <c r="H22" s="11"/>
    </row>
    <row r="23" spans="1:8" x14ac:dyDescent="0.35">
      <c r="A23" s="10" t="s">
        <v>86</v>
      </c>
      <c r="B23" s="11">
        <v>0.21666666666666667</v>
      </c>
      <c r="C23" s="12">
        <v>4.615384615384615</v>
      </c>
      <c r="D23" s="16">
        <v>128.49198339540644</v>
      </c>
      <c r="E23" s="16">
        <v>-87.207435638188556</v>
      </c>
      <c r="F23" s="15">
        <v>723459.79882422602</v>
      </c>
      <c r="G23" s="15">
        <v>1488851.039822313</v>
      </c>
      <c r="H23" s="11"/>
    </row>
    <row r="24" spans="1:8" x14ac:dyDescent="0.35">
      <c r="A24" s="10" t="s">
        <v>87</v>
      </c>
      <c r="B24" s="11">
        <v>0.26666666666666666</v>
      </c>
      <c r="C24" s="12">
        <v>3.75</v>
      </c>
      <c r="D24" s="16">
        <v>154.73751123515004</v>
      </c>
      <c r="E24" s="16">
        <v>12.279148245944217</v>
      </c>
      <c r="F24" s="15">
        <v>722834.24594682176</v>
      </c>
      <c r="G24" s="15">
        <v>1503891.419442828</v>
      </c>
      <c r="H24" s="11"/>
    </row>
    <row r="25" spans="1:8" x14ac:dyDescent="0.35">
      <c r="A25" s="10" t="s">
        <v>88</v>
      </c>
      <c r="B25" s="11">
        <v>0.05</v>
      </c>
      <c r="C25" s="12">
        <v>20</v>
      </c>
      <c r="D25" s="16">
        <v>152.1944468496981</v>
      </c>
      <c r="E25" s="16">
        <v>19.419374689163668</v>
      </c>
      <c r="F25" s="15">
        <v>706207.85295611119</v>
      </c>
      <c r="G25" s="15">
        <v>1504121.0587511533</v>
      </c>
      <c r="H25" s="11">
        <v>0.24107142857142871</v>
      </c>
    </row>
    <row r="26" spans="1:8" x14ac:dyDescent="0.35">
      <c r="A26" s="10" t="s">
        <v>89</v>
      </c>
      <c r="B26" s="11">
        <v>0.41666666666666669</v>
      </c>
      <c r="C26" s="12">
        <v>2.4</v>
      </c>
      <c r="D26" s="16">
        <v>-91.364120869766978</v>
      </c>
      <c r="E26" s="16">
        <v>106.25741419457862</v>
      </c>
      <c r="F26" s="15">
        <v>589141.21960870875</v>
      </c>
      <c r="G26" s="15">
        <v>1926736.9670020831</v>
      </c>
      <c r="H26" s="11"/>
    </row>
    <row r="27" spans="1:8" x14ac:dyDescent="0.35">
      <c r="A27" s="10" t="s">
        <v>90</v>
      </c>
      <c r="B27" s="11">
        <v>0.35</v>
      </c>
      <c r="C27" s="12">
        <v>2.8571428571428572</v>
      </c>
      <c r="D27" s="16">
        <v>82.175581178307183</v>
      </c>
      <c r="E27" s="16">
        <v>-104.02423219917863</v>
      </c>
      <c r="F27" s="15">
        <v>527216.01079863554</v>
      </c>
      <c r="G27" s="15">
        <v>1678321.618061736</v>
      </c>
      <c r="H27" s="11"/>
    </row>
    <row r="28" spans="1:8" x14ac:dyDescent="0.35">
      <c r="A28" s="10" t="s">
        <v>91</v>
      </c>
      <c r="B28" s="11">
        <v>0.11666666666666667</v>
      </c>
      <c r="C28" s="12">
        <v>8.5714285714285712</v>
      </c>
      <c r="D28" s="16">
        <v>84.820856871436945</v>
      </c>
      <c r="E28" s="16">
        <v>100.06689152542562</v>
      </c>
      <c r="F28" s="15">
        <v>516238.81619898271</v>
      </c>
      <c r="G28" s="15">
        <v>2360219.3897384023</v>
      </c>
      <c r="H28" s="11"/>
    </row>
    <row r="29" spans="1:8" x14ac:dyDescent="0.35">
      <c r="A29" s="10" t="s">
        <v>92</v>
      </c>
      <c r="B29" s="11">
        <v>0.5</v>
      </c>
      <c r="C29" s="12">
        <v>2</v>
      </c>
      <c r="D29" s="16">
        <v>97.075020839122018</v>
      </c>
      <c r="E29" s="13">
        <v>0</v>
      </c>
      <c r="F29" s="15">
        <v>282706.79012747924</v>
      </c>
      <c r="G29" s="15">
        <v>460602.74713622686</v>
      </c>
      <c r="H29" s="11"/>
    </row>
    <row r="30" spans="1:8" x14ac:dyDescent="0.35">
      <c r="A30" s="10" t="s">
        <v>93</v>
      </c>
      <c r="B30" s="11">
        <v>0.48333333333333334</v>
      </c>
      <c r="C30" s="12">
        <v>2.0689655172413794</v>
      </c>
      <c r="D30" s="16">
        <v>-63.386555764597013</v>
      </c>
      <c r="E30" s="16">
        <v>54.363878087940378</v>
      </c>
      <c r="F30" s="15">
        <v>209198.60077376431</v>
      </c>
      <c r="G30" s="15">
        <v>959155.59546176263</v>
      </c>
      <c r="H30" s="11"/>
    </row>
    <row r="31" spans="1:8" x14ac:dyDescent="0.35">
      <c r="A31" s="10" t="s">
        <v>94</v>
      </c>
      <c r="B31" s="11">
        <v>0.45</v>
      </c>
      <c r="C31" s="12">
        <v>2.2222222222222223</v>
      </c>
      <c r="D31" s="16">
        <v>-35.623489911055955</v>
      </c>
      <c r="E31" s="16">
        <v>-23.929124516627002</v>
      </c>
      <c r="F31" s="15">
        <v>55249.081007260349</v>
      </c>
      <c r="G31" s="15">
        <v>1819293.3635647246</v>
      </c>
      <c r="H31" s="11"/>
    </row>
    <row r="32" spans="1:8" x14ac:dyDescent="0.35">
      <c r="A32" s="10" t="s">
        <v>95</v>
      </c>
      <c r="B32" s="11">
        <v>1.6666666666666666E-2</v>
      </c>
      <c r="C32" s="12">
        <v>60</v>
      </c>
      <c r="D32" s="16">
        <v>-4.5094304850136391</v>
      </c>
      <c r="E32" s="16">
        <v>-18.46660393415069</v>
      </c>
      <c r="F32" s="15">
        <v>10840.512724798802</v>
      </c>
      <c r="G32" s="15">
        <v>570982.20032466843</v>
      </c>
      <c r="H32" s="11">
        <v>0.24107142857142871</v>
      </c>
    </row>
    <row r="33" spans="1:8" x14ac:dyDescent="0.35">
      <c r="A33" s="10" t="s">
        <v>96</v>
      </c>
      <c r="B33" s="11">
        <v>0</v>
      </c>
      <c r="C33" s="12"/>
      <c r="D33" s="13">
        <v>-2.6645352591003757E-14</v>
      </c>
      <c r="E33" s="13">
        <v>0</v>
      </c>
      <c r="F33" s="14">
        <v>2.1299244440967319E-26</v>
      </c>
      <c r="G33" s="15">
        <v>165384.84333728519</v>
      </c>
      <c r="H33" s="11">
        <v>3.5714285714285691E-2</v>
      </c>
    </row>
  </sheetData>
  <autoFilter ref="B2:H2" xr:uid="{0341170F-4BAA-410F-9EB0-E434A0FA63C7}">
    <sortState xmlns:xlrd2="http://schemas.microsoft.com/office/spreadsheetml/2017/richdata2" ref="B3:H33">
      <sortCondition descending="1" ref="F2"/>
    </sortState>
  </autoFilter>
  <mergeCells count="2">
    <mergeCell ref="A1:A2"/>
    <mergeCell ref="B1:H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7E4A0-6AE9-4168-9ED4-7D5B9C5E4E4D}">
  <dimension ref="A1:E61"/>
  <sheetViews>
    <sheetView workbookViewId="0">
      <selection activeCell="F1" sqref="F1"/>
    </sheetView>
  </sheetViews>
  <sheetFormatPr defaultRowHeight="14.5" x14ac:dyDescent="0.35"/>
  <cols>
    <col min="1" max="1" width="4.81640625" bestFit="1" customWidth="1"/>
    <col min="2" max="2" width="5.6328125" bestFit="1" customWidth="1"/>
    <col min="3" max="3" width="10.7265625" bestFit="1" customWidth="1"/>
    <col min="4" max="4" width="18.1796875" bestFit="1" customWidth="1"/>
    <col min="5" max="5" width="40.54296875" bestFit="1" customWidth="1"/>
  </cols>
  <sheetData>
    <row r="1" spans="1:5" x14ac:dyDescent="0.35">
      <c r="A1" t="s">
        <v>13</v>
      </c>
      <c r="B1" t="s">
        <v>14</v>
      </c>
      <c r="C1" t="s">
        <v>51</v>
      </c>
      <c r="D1" t="s">
        <v>15</v>
      </c>
      <c r="E1" t="s">
        <v>52</v>
      </c>
    </row>
    <row r="2" spans="1:5" x14ac:dyDescent="0.35">
      <c r="A2">
        <v>2017</v>
      </c>
      <c r="B2" t="s">
        <v>1</v>
      </c>
      <c r="C2">
        <v>2860</v>
      </c>
      <c r="D2">
        <v>22</v>
      </c>
      <c r="E2" s="6">
        <f>(C2/D2)*21</f>
        <v>2730</v>
      </c>
    </row>
    <row r="3" spans="1:5" x14ac:dyDescent="0.35">
      <c r="B3" t="s">
        <v>2</v>
      </c>
      <c r="C3">
        <v>0</v>
      </c>
      <c r="D3">
        <v>20</v>
      </c>
      <c r="E3" s="6">
        <f t="shared" ref="E3:E61" si="0">(C3/D3)*21</f>
        <v>0</v>
      </c>
    </row>
    <row r="4" spans="1:5" x14ac:dyDescent="0.35">
      <c r="B4" t="s">
        <v>3</v>
      </c>
      <c r="C4">
        <v>1375</v>
      </c>
      <c r="D4">
        <v>23</v>
      </c>
      <c r="E4" s="6">
        <f t="shared" si="0"/>
        <v>1255.4347826086955</v>
      </c>
    </row>
    <row r="5" spans="1:5" x14ac:dyDescent="0.35">
      <c r="B5" t="s">
        <v>4</v>
      </c>
      <c r="C5">
        <v>1320</v>
      </c>
      <c r="D5">
        <v>18</v>
      </c>
      <c r="E5" s="6">
        <f t="shared" si="0"/>
        <v>1540</v>
      </c>
    </row>
    <row r="6" spans="1:5" x14ac:dyDescent="0.35">
      <c r="B6" t="s">
        <v>5</v>
      </c>
      <c r="C6">
        <v>880</v>
      </c>
      <c r="D6">
        <v>21</v>
      </c>
      <c r="E6" s="6">
        <f t="shared" si="0"/>
        <v>880</v>
      </c>
    </row>
    <row r="7" spans="1:5" x14ac:dyDescent="0.35">
      <c r="B7" t="s">
        <v>6</v>
      </c>
      <c r="C7">
        <v>1760</v>
      </c>
      <c r="D7">
        <v>22</v>
      </c>
      <c r="E7" s="6">
        <f t="shared" si="0"/>
        <v>1680</v>
      </c>
    </row>
    <row r="8" spans="1:5" x14ac:dyDescent="0.35">
      <c r="B8" t="s">
        <v>7</v>
      </c>
      <c r="C8">
        <v>770</v>
      </c>
      <c r="D8">
        <v>19</v>
      </c>
      <c r="E8" s="6">
        <f t="shared" si="0"/>
        <v>851.0526315789474</v>
      </c>
    </row>
    <row r="9" spans="1:5" x14ac:dyDescent="0.35">
      <c r="B9" t="s">
        <v>8</v>
      </c>
      <c r="C9">
        <v>1760</v>
      </c>
      <c r="D9">
        <v>23</v>
      </c>
      <c r="E9" s="6">
        <f t="shared" si="0"/>
        <v>1606.9565217391305</v>
      </c>
    </row>
    <row r="10" spans="1:5" x14ac:dyDescent="0.35">
      <c r="B10" t="s">
        <v>9</v>
      </c>
      <c r="C10">
        <v>3180</v>
      </c>
      <c r="D10">
        <v>20</v>
      </c>
      <c r="E10" s="6">
        <f t="shared" si="0"/>
        <v>3339</v>
      </c>
    </row>
    <row r="11" spans="1:5" x14ac:dyDescent="0.35">
      <c r="B11" t="s">
        <v>10</v>
      </c>
      <c r="C11">
        <v>2200</v>
      </c>
      <c r="D11">
        <v>22</v>
      </c>
      <c r="E11" s="6">
        <f t="shared" si="0"/>
        <v>2100</v>
      </c>
    </row>
    <row r="12" spans="1:5" x14ac:dyDescent="0.35">
      <c r="B12" t="s">
        <v>11</v>
      </c>
      <c r="C12">
        <v>4070</v>
      </c>
      <c r="D12">
        <v>21</v>
      </c>
      <c r="E12" s="6">
        <f t="shared" si="0"/>
        <v>4069.9999999999995</v>
      </c>
    </row>
    <row r="13" spans="1:5" x14ac:dyDescent="0.35">
      <c r="B13" t="s">
        <v>12</v>
      </c>
      <c r="C13">
        <v>2145</v>
      </c>
      <c r="D13">
        <v>19</v>
      </c>
      <c r="E13" s="6">
        <f t="shared" si="0"/>
        <v>2370.7894736842104</v>
      </c>
    </row>
    <row r="14" spans="1:5" x14ac:dyDescent="0.35">
      <c r="A14">
        <v>2018</v>
      </c>
      <c r="B14" t="s">
        <v>1</v>
      </c>
      <c r="C14">
        <v>0</v>
      </c>
      <c r="D14">
        <v>22</v>
      </c>
      <c r="E14" s="6">
        <f t="shared" si="0"/>
        <v>0</v>
      </c>
    </row>
    <row r="15" spans="1:5" x14ac:dyDescent="0.35">
      <c r="B15" t="s">
        <v>2</v>
      </c>
      <c r="C15">
        <v>0</v>
      </c>
      <c r="D15">
        <v>20</v>
      </c>
      <c r="E15" s="6">
        <f t="shared" si="0"/>
        <v>0</v>
      </c>
    </row>
    <row r="16" spans="1:5" x14ac:dyDescent="0.35">
      <c r="B16" t="s">
        <v>3</v>
      </c>
      <c r="C16">
        <v>1100</v>
      </c>
      <c r="D16">
        <v>21</v>
      </c>
      <c r="E16" s="6">
        <f t="shared" si="0"/>
        <v>1100</v>
      </c>
    </row>
    <row r="17" spans="1:5" x14ac:dyDescent="0.35">
      <c r="B17" t="s">
        <v>4</v>
      </c>
      <c r="C17">
        <v>1760</v>
      </c>
      <c r="D17">
        <v>20</v>
      </c>
      <c r="E17" s="6">
        <f t="shared" si="0"/>
        <v>1848</v>
      </c>
    </row>
    <row r="18" spans="1:5" x14ac:dyDescent="0.35">
      <c r="B18" t="s">
        <v>5</v>
      </c>
      <c r="C18">
        <v>1815</v>
      </c>
      <c r="D18">
        <v>21</v>
      </c>
      <c r="E18" s="6">
        <f t="shared" si="0"/>
        <v>1815</v>
      </c>
    </row>
    <row r="19" spans="1:5" x14ac:dyDescent="0.35">
      <c r="B19" t="s">
        <v>6</v>
      </c>
      <c r="C19">
        <v>2860</v>
      </c>
      <c r="D19">
        <v>21</v>
      </c>
      <c r="E19" s="6">
        <f t="shared" si="0"/>
        <v>2860.0000000000005</v>
      </c>
    </row>
    <row r="20" spans="1:5" x14ac:dyDescent="0.35">
      <c r="B20" t="s">
        <v>7</v>
      </c>
      <c r="C20">
        <v>1540</v>
      </c>
      <c r="D20">
        <v>20</v>
      </c>
      <c r="E20" s="6">
        <f t="shared" si="0"/>
        <v>1617</v>
      </c>
    </row>
    <row r="21" spans="1:5" x14ac:dyDescent="0.35">
      <c r="B21" t="s">
        <v>8</v>
      </c>
      <c r="C21">
        <v>880</v>
      </c>
      <c r="D21">
        <v>23</v>
      </c>
      <c r="E21" s="6">
        <f t="shared" si="0"/>
        <v>803.47826086956525</v>
      </c>
    </row>
    <row r="22" spans="1:5" x14ac:dyDescent="0.35">
      <c r="B22" t="s">
        <v>9</v>
      </c>
      <c r="C22">
        <v>1815</v>
      </c>
      <c r="D22">
        <v>19</v>
      </c>
      <c r="E22" s="6">
        <f t="shared" si="0"/>
        <v>2006.0526315789473</v>
      </c>
    </row>
    <row r="23" spans="1:5" x14ac:dyDescent="0.35">
      <c r="B23" t="s">
        <v>10</v>
      </c>
      <c r="C23">
        <v>3080</v>
      </c>
      <c r="D23">
        <v>23</v>
      </c>
      <c r="E23" s="6">
        <f t="shared" si="0"/>
        <v>2812.1739130434785</v>
      </c>
    </row>
    <row r="24" spans="1:5" x14ac:dyDescent="0.35">
      <c r="B24" t="s">
        <v>11</v>
      </c>
      <c r="C24">
        <v>2310</v>
      </c>
      <c r="D24">
        <v>22</v>
      </c>
      <c r="E24" s="6">
        <f t="shared" si="0"/>
        <v>2205</v>
      </c>
    </row>
    <row r="25" spans="1:5" x14ac:dyDescent="0.35">
      <c r="B25" t="s">
        <v>12</v>
      </c>
      <c r="C25">
        <v>3630</v>
      </c>
      <c r="D25">
        <v>18</v>
      </c>
      <c r="E25" s="6">
        <f t="shared" si="0"/>
        <v>4235</v>
      </c>
    </row>
    <row r="26" spans="1:5" x14ac:dyDescent="0.35">
      <c r="A26">
        <v>2019</v>
      </c>
      <c r="B26" t="s">
        <v>1</v>
      </c>
      <c r="C26">
        <v>0</v>
      </c>
      <c r="D26">
        <v>22</v>
      </c>
      <c r="E26" s="6">
        <f t="shared" si="0"/>
        <v>0</v>
      </c>
    </row>
    <row r="27" spans="1:5" x14ac:dyDescent="0.35">
      <c r="B27" t="s">
        <v>2</v>
      </c>
      <c r="C27">
        <v>165</v>
      </c>
      <c r="D27">
        <v>20</v>
      </c>
      <c r="E27" s="6">
        <f t="shared" si="0"/>
        <v>173.25</v>
      </c>
    </row>
    <row r="28" spans="1:5" x14ac:dyDescent="0.35">
      <c r="B28" t="s">
        <v>3</v>
      </c>
      <c r="C28">
        <v>440</v>
      </c>
      <c r="D28">
        <v>21</v>
      </c>
      <c r="E28" s="6">
        <f t="shared" si="0"/>
        <v>440</v>
      </c>
    </row>
    <row r="29" spans="1:5" x14ac:dyDescent="0.35">
      <c r="B29" t="s">
        <v>4</v>
      </c>
      <c r="C29">
        <v>385</v>
      </c>
      <c r="D29">
        <v>20</v>
      </c>
      <c r="E29" s="6">
        <f t="shared" si="0"/>
        <v>404.25</v>
      </c>
    </row>
    <row r="30" spans="1:5" x14ac:dyDescent="0.35">
      <c r="B30" t="s">
        <v>5</v>
      </c>
      <c r="C30">
        <v>1485</v>
      </c>
      <c r="D30">
        <v>21</v>
      </c>
      <c r="E30" s="6">
        <f t="shared" si="0"/>
        <v>1484.9999999999998</v>
      </c>
    </row>
    <row r="31" spans="1:5" x14ac:dyDescent="0.35">
      <c r="B31" t="s">
        <v>6</v>
      </c>
      <c r="C31">
        <v>715</v>
      </c>
      <c r="D31">
        <v>20</v>
      </c>
      <c r="E31" s="6">
        <f t="shared" si="0"/>
        <v>750.75</v>
      </c>
    </row>
    <row r="32" spans="1:5" x14ac:dyDescent="0.35">
      <c r="B32" t="s">
        <v>7</v>
      </c>
      <c r="C32">
        <v>3300</v>
      </c>
      <c r="D32">
        <v>22</v>
      </c>
      <c r="E32" s="6">
        <f t="shared" si="0"/>
        <v>3150</v>
      </c>
    </row>
    <row r="33" spans="1:5" x14ac:dyDescent="0.35">
      <c r="B33" t="s">
        <v>8</v>
      </c>
      <c r="C33">
        <v>1155</v>
      </c>
      <c r="D33">
        <v>22</v>
      </c>
      <c r="E33" s="6">
        <f t="shared" si="0"/>
        <v>1102.5</v>
      </c>
    </row>
    <row r="34" spans="1:5" x14ac:dyDescent="0.35">
      <c r="B34" t="s">
        <v>9</v>
      </c>
      <c r="C34">
        <v>1485</v>
      </c>
      <c r="D34">
        <v>21</v>
      </c>
      <c r="E34" s="6">
        <f t="shared" si="0"/>
        <v>1484.9999999999998</v>
      </c>
    </row>
    <row r="35" spans="1:5" x14ac:dyDescent="0.35">
      <c r="B35" t="s">
        <v>10</v>
      </c>
      <c r="C35">
        <v>440</v>
      </c>
      <c r="D35">
        <v>22</v>
      </c>
      <c r="E35" s="6">
        <f t="shared" si="0"/>
        <v>420</v>
      </c>
    </row>
    <row r="36" spans="1:5" x14ac:dyDescent="0.35">
      <c r="B36" t="s">
        <v>11</v>
      </c>
      <c r="C36">
        <v>2090</v>
      </c>
      <c r="D36">
        <v>21</v>
      </c>
      <c r="E36" s="6">
        <f t="shared" si="0"/>
        <v>2090</v>
      </c>
    </row>
    <row r="37" spans="1:5" x14ac:dyDescent="0.35">
      <c r="B37" t="s">
        <v>12</v>
      </c>
      <c r="C37">
        <v>2420</v>
      </c>
      <c r="D37">
        <v>19</v>
      </c>
      <c r="E37" s="6">
        <f t="shared" si="0"/>
        <v>2674.7368421052629</v>
      </c>
    </row>
    <row r="38" spans="1:5" x14ac:dyDescent="0.35">
      <c r="A38">
        <v>2020</v>
      </c>
      <c r="B38" t="s">
        <v>1</v>
      </c>
      <c r="C38">
        <v>0</v>
      </c>
      <c r="D38">
        <v>22</v>
      </c>
      <c r="E38" s="6">
        <f t="shared" si="0"/>
        <v>0</v>
      </c>
    </row>
    <row r="39" spans="1:5" x14ac:dyDescent="0.35">
      <c r="B39" t="s">
        <v>2</v>
      </c>
      <c r="C39">
        <v>660</v>
      </c>
      <c r="D39">
        <v>20</v>
      </c>
      <c r="E39" s="6">
        <f t="shared" si="0"/>
        <v>693</v>
      </c>
    </row>
    <row r="40" spans="1:5" x14ac:dyDescent="0.35">
      <c r="B40" t="s">
        <v>3</v>
      </c>
      <c r="C40">
        <v>2805</v>
      </c>
      <c r="D40">
        <v>22</v>
      </c>
      <c r="E40" s="6">
        <f t="shared" si="0"/>
        <v>2677.5</v>
      </c>
    </row>
    <row r="41" spans="1:5" x14ac:dyDescent="0.35">
      <c r="B41" t="s">
        <v>4</v>
      </c>
      <c r="C41">
        <v>1155</v>
      </c>
      <c r="D41">
        <v>20</v>
      </c>
      <c r="E41" s="6">
        <f t="shared" si="0"/>
        <v>1212.75</v>
      </c>
    </row>
    <row r="42" spans="1:5" x14ac:dyDescent="0.35">
      <c r="B42" t="s">
        <v>5</v>
      </c>
      <c r="C42">
        <v>1870</v>
      </c>
      <c r="D42">
        <v>19</v>
      </c>
      <c r="E42" s="6">
        <f t="shared" si="0"/>
        <v>2066.8421052631579</v>
      </c>
    </row>
    <row r="43" spans="1:5" x14ac:dyDescent="0.35">
      <c r="B43" t="s">
        <v>6</v>
      </c>
      <c r="C43">
        <v>2475</v>
      </c>
      <c r="D43">
        <v>22</v>
      </c>
      <c r="E43" s="6">
        <f t="shared" si="0"/>
        <v>2362.5</v>
      </c>
    </row>
    <row r="44" spans="1:5" x14ac:dyDescent="0.35">
      <c r="B44" t="s">
        <v>7</v>
      </c>
      <c r="C44">
        <v>2420</v>
      </c>
      <c r="D44">
        <v>22</v>
      </c>
      <c r="E44" s="6">
        <f t="shared" si="0"/>
        <v>2310</v>
      </c>
    </row>
    <row r="45" spans="1:5" x14ac:dyDescent="0.35">
      <c r="B45" t="s">
        <v>8</v>
      </c>
      <c r="C45">
        <v>1375</v>
      </c>
      <c r="D45">
        <v>21</v>
      </c>
      <c r="E45" s="6">
        <f t="shared" si="0"/>
        <v>1375</v>
      </c>
    </row>
    <row r="46" spans="1:5" x14ac:dyDescent="0.35">
      <c r="B46" t="s">
        <v>9</v>
      </c>
      <c r="C46">
        <v>2915</v>
      </c>
      <c r="D46">
        <v>21</v>
      </c>
      <c r="E46" s="6">
        <f t="shared" si="0"/>
        <v>2914.9999999999995</v>
      </c>
    </row>
    <row r="47" spans="1:5" x14ac:dyDescent="0.35">
      <c r="B47" t="s">
        <v>10</v>
      </c>
      <c r="C47">
        <v>2365</v>
      </c>
      <c r="D47">
        <v>21</v>
      </c>
      <c r="E47" s="6">
        <f t="shared" si="0"/>
        <v>2365</v>
      </c>
    </row>
    <row r="48" spans="1:5" x14ac:dyDescent="0.35">
      <c r="B48" t="s">
        <v>11</v>
      </c>
      <c r="C48">
        <v>2310</v>
      </c>
      <c r="D48">
        <v>20</v>
      </c>
      <c r="E48" s="6">
        <f t="shared" si="0"/>
        <v>2425.5</v>
      </c>
    </row>
    <row r="49" spans="1:5" x14ac:dyDescent="0.35">
      <c r="B49" t="s">
        <v>12</v>
      </c>
      <c r="C49">
        <v>1430</v>
      </c>
      <c r="D49">
        <v>21</v>
      </c>
      <c r="E49" s="6">
        <f t="shared" si="0"/>
        <v>1430.0000000000002</v>
      </c>
    </row>
    <row r="50" spans="1:5" x14ac:dyDescent="0.35">
      <c r="A50">
        <v>2021</v>
      </c>
      <c r="B50" t="s">
        <v>1</v>
      </c>
      <c r="C50">
        <v>0</v>
      </c>
      <c r="D50">
        <v>20</v>
      </c>
      <c r="E50" s="6">
        <f t="shared" si="0"/>
        <v>0</v>
      </c>
    </row>
    <row r="51" spans="1:5" x14ac:dyDescent="0.35">
      <c r="B51" t="s">
        <v>2</v>
      </c>
      <c r="C51">
        <v>0</v>
      </c>
      <c r="D51">
        <v>20</v>
      </c>
      <c r="E51" s="6">
        <f t="shared" si="0"/>
        <v>0</v>
      </c>
    </row>
    <row r="52" spans="1:5" x14ac:dyDescent="0.35">
      <c r="B52" t="s">
        <v>3</v>
      </c>
      <c r="C52">
        <v>825</v>
      </c>
      <c r="D52">
        <v>23</v>
      </c>
      <c r="E52" s="6">
        <f t="shared" si="0"/>
        <v>753.26086956521738</v>
      </c>
    </row>
    <row r="53" spans="1:5" x14ac:dyDescent="0.35">
      <c r="B53" t="s">
        <v>4</v>
      </c>
      <c r="C53">
        <v>2915</v>
      </c>
      <c r="D53">
        <v>20</v>
      </c>
      <c r="E53" s="6">
        <f t="shared" si="0"/>
        <v>3060.75</v>
      </c>
    </row>
    <row r="54" spans="1:5" x14ac:dyDescent="0.35">
      <c r="B54" t="s">
        <v>5</v>
      </c>
      <c r="C54">
        <v>165</v>
      </c>
      <c r="D54">
        <v>21</v>
      </c>
      <c r="E54" s="6">
        <f t="shared" si="0"/>
        <v>165</v>
      </c>
    </row>
    <row r="55" spans="1:5" x14ac:dyDescent="0.35">
      <c r="B55" t="s">
        <v>6</v>
      </c>
      <c r="C55">
        <v>1815</v>
      </c>
      <c r="D55">
        <v>22</v>
      </c>
      <c r="E55" s="6">
        <f t="shared" si="0"/>
        <v>1732.5</v>
      </c>
    </row>
    <row r="56" spans="1:5" x14ac:dyDescent="0.35">
      <c r="B56" t="s">
        <v>7</v>
      </c>
      <c r="C56">
        <v>1870</v>
      </c>
      <c r="D56">
        <v>20</v>
      </c>
      <c r="E56" s="6">
        <f t="shared" si="0"/>
        <v>1963.5</v>
      </c>
    </row>
    <row r="57" spans="1:5" x14ac:dyDescent="0.35">
      <c r="B57" t="s">
        <v>8</v>
      </c>
      <c r="C57">
        <v>1980</v>
      </c>
      <c r="D57">
        <v>22</v>
      </c>
      <c r="E57" s="6">
        <f t="shared" si="0"/>
        <v>1890</v>
      </c>
    </row>
    <row r="58" spans="1:5" x14ac:dyDescent="0.35">
      <c r="B58" t="s">
        <v>9</v>
      </c>
      <c r="C58">
        <v>2035</v>
      </c>
      <c r="D58">
        <v>21</v>
      </c>
      <c r="E58" s="6">
        <f t="shared" si="0"/>
        <v>2034.9999999999998</v>
      </c>
    </row>
    <row r="59" spans="1:5" x14ac:dyDescent="0.35">
      <c r="B59" t="s">
        <v>10</v>
      </c>
      <c r="C59">
        <v>1045</v>
      </c>
      <c r="D59">
        <v>20</v>
      </c>
      <c r="E59" s="6">
        <f t="shared" si="0"/>
        <v>1097.25</v>
      </c>
    </row>
    <row r="60" spans="1:5" x14ac:dyDescent="0.35">
      <c r="B60" t="s">
        <v>11</v>
      </c>
      <c r="C60">
        <v>550</v>
      </c>
      <c r="D60">
        <v>21</v>
      </c>
      <c r="E60" s="6">
        <f t="shared" si="0"/>
        <v>550</v>
      </c>
    </row>
    <row r="61" spans="1:5" x14ac:dyDescent="0.35">
      <c r="B61" t="s">
        <v>12</v>
      </c>
      <c r="C61">
        <v>1375</v>
      </c>
      <c r="D61">
        <v>22</v>
      </c>
      <c r="E61" s="6">
        <f t="shared" si="0"/>
        <v>1312.5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51C24-81EB-45A7-ACD0-BEB738231E6E}">
  <dimension ref="A1:H54"/>
  <sheetViews>
    <sheetView workbookViewId="0">
      <selection activeCell="G1" sqref="G1"/>
    </sheetView>
  </sheetViews>
  <sheetFormatPr defaultRowHeight="14.5" x14ac:dyDescent="0.35"/>
  <cols>
    <col min="1" max="1" width="8.1796875" customWidth="1"/>
    <col min="3" max="3" width="40.54296875" bestFit="1" customWidth="1"/>
    <col min="5" max="5" width="15.54296875" bestFit="1" customWidth="1"/>
    <col min="7" max="7" width="11.81640625" bestFit="1" customWidth="1"/>
  </cols>
  <sheetData>
    <row r="1" spans="1:8" x14ac:dyDescent="0.35">
      <c r="A1" t="s">
        <v>13</v>
      </c>
      <c r="B1" t="s">
        <v>14</v>
      </c>
      <c r="C1" t="s">
        <v>52</v>
      </c>
      <c r="E1" s="67" t="s">
        <v>16</v>
      </c>
      <c r="F1" s="67"/>
    </row>
    <row r="2" spans="1:8" x14ac:dyDescent="0.35">
      <c r="A2">
        <v>2017</v>
      </c>
      <c r="B2" t="s">
        <v>3</v>
      </c>
      <c r="C2" s="6">
        <v>1255.4347826086955</v>
      </c>
      <c r="E2" s="2" t="s">
        <v>17</v>
      </c>
      <c r="F2" s="2">
        <f>ROUND((LOG(2*COUNT(C2:C51),2)),0)</f>
        <v>7</v>
      </c>
    </row>
    <row r="3" spans="1:8" x14ac:dyDescent="0.35">
      <c r="B3" t="s">
        <v>4</v>
      </c>
      <c r="C3" s="6">
        <v>1540</v>
      </c>
      <c r="E3" s="2" t="s">
        <v>18</v>
      </c>
      <c r="F3" s="2">
        <f>MIN(C2:C51)</f>
        <v>165</v>
      </c>
    </row>
    <row r="4" spans="1:8" x14ac:dyDescent="0.35">
      <c r="B4" t="s">
        <v>5</v>
      </c>
      <c r="C4" s="6">
        <v>880</v>
      </c>
      <c r="E4" s="2" t="s">
        <v>19</v>
      </c>
      <c r="F4" s="2">
        <f>MAX(C2:C51)</f>
        <v>4235</v>
      </c>
    </row>
    <row r="5" spans="1:8" x14ac:dyDescent="0.35">
      <c r="B5" t="s">
        <v>6</v>
      </c>
      <c r="C5" s="6">
        <v>1680</v>
      </c>
      <c r="E5" s="2" t="s">
        <v>20</v>
      </c>
      <c r="F5" s="2">
        <f>(F4-F3)/F2</f>
        <v>581.42857142857144</v>
      </c>
    </row>
    <row r="6" spans="1:8" ht="15" thickBot="1" x14ac:dyDescent="0.4">
      <c r="B6" t="s">
        <v>7</v>
      </c>
      <c r="C6" s="6">
        <v>851.0526315789474</v>
      </c>
    </row>
    <row r="7" spans="1:8" x14ac:dyDescent="0.35">
      <c r="B7" t="s">
        <v>8</v>
      </c>
      <c r="C7" s="6">
        <v>1606.9565217391305</v>
      </c>
      <c r="E7" t="s">
        <v>24</v>
      </c>
      <c r="G7" s="4" t="s">
        <v>21</v>
      </c>
      <c r="H7" s="4" t="s">
        <v>23</v>
      </c>
    </row>
    <row r="8" spans="1:8" x14ac:dyDescent="0.35">
      <c r="B8" t="s">
        <v>9</v>
      </c>
      <c r="C8" s="6">
        <v>3339</v>
      </c>
      <c r="E8">
        <f>F3+F5</f>
        <v>746.42857142857144</v>
      </c>
      <c r="G8" t="s">
        <v>25</v>
      </c>
      <c r="H8">
        <v>5</v>
      </c>
    </row>
    <row r="9" spans="1:8" x14ac:dyDescent="0.35">
      <c r="B9" t="s">
        <v>10</v>
      </c>
      <c r="C9" s="6">
        <v>2100</v>
      </c>
      <c r="E9">
        <f>E8+$F$5</f>
        <v>1327.8571428571429</v>
      </c>
      <c r="G9" t="s">
        <v>28</v>
      </c>
      <c r="H9">
        <v>11</v>
      </c>
    </row>
    <row r="10" spans="1:8" x14ac:dyDescent="0.35">
      <c r="B10" t="s">
        <v>11</v>
      </c>
      <c r="C10" s="6">
        <v>4069.9999999999995</v>
      </c>
      <c r="E10">
        <f t="shared" ref="E10:E12" si="0">E9+$F$5</f>
        <v>1909.2857142857142</v>
      </c>
      <c r="G10" t="s">
        <v>29</v>
      </c>
      <c r="H10">
        <v>12</v>
      </c>
    </row>
    <row r="11" spans="1:8" x14ac:dyDescent="0.35">
      <c r="B11" t="s">
        <v>12</v>
      </c>
      <c r="C11" s="6">
        <v>2370.7894736842104</v>
      </c>
      <c r="E11">
        <f>E10+$F$5</f>
        <v>2490.7142857142858</v>
      </c>
      <c r="G11" t="s">
        <v>30</v>
      </c>
      <c r="H11">
        <v>12</v>
      </c>
    </row>
    <row r="12" spans="1:8" x14ac:dyDescent="0.35">
      <c r="A12">
        <v>2018</v>
      </c>
      <c r="B12" t="s">
        <v>3</v>
      </c>
      <c r="C12" s="6">
        <v>1100</v>
      </c>
      <c r="E12">
        <f t="shared" si="0"/>
        <v>3072.1428571428573</v>
      </c>
      <c r="G12" t="s">
        <v>31</v>
      </c>
      <c r="H12">
        <v>6</v>
      </c>
    </row>
    <row r="13" spans="1:8" x14ac:dyDescent="0.35">
      <c r="B13" t="s">
        <v>4</v>
      </c>
      <c r="C13" s="6">
        <v>1848</v>
      </c>
      <c r="E13">
        <f>E12+$F$5</f>
        <v>3653.5714285714289</v>
      </c>
      <c r="G13" t="s">
        <v>32</v>
      </c>
      <c r="H13">
        <v>2</v>
      </c>
    </row>
    <row r="14" spans="1:8" x14ac:dyDescent="0.35">
      <c r="B14" t="s">
        <v>5</v>
      </c>
      <c r="C14" s="6">
        <v>1815</v>
      </c>
      <c r="E14">
        <f>E13+$F$5</f>
        <v>4235</v>
      </c>
      <c r="G14" t="s">
        <v>33</v>
      </c>
      <c r="H14">
        <v>2</v>
      </c>
    </row>
    <row r="15" spans="1:8" ht="15" thickBot="1" x14ac:dyDescent="0.4">
      <c r="B15" t="s">
        <v>6</v>
      </c>
      <c r="C15" s="6">
        <v>2860.0000000000005</v>
      </c>
      <c r="G15" s="3" t="s">
        <v>22</v>
      </c>
      <c r="H15" s="3">
        <v>0</v>
      </c>
    </row>
    <row r="16" spans="1:8" x14ac:dyDescent="0.35">
      <c r="B16" t="s">
        <v>7</v>
      </c>
      <c r="C16" s="6">
        <v>1617</v>
      </c>
    </row>
    <row r="17" spans="1:3" x14ac:dyDescent="0.35">
      <c r="B17" t="s">
        <v>8</v>
      </c>
      <c r="C17" s="6">
        <v>803.47826086956525</v>
      </c>
    </row>
    <row r="18" spans="1:3" x14ac:dyDescent="0.35">
      <c r="B18" t="s">
        <v>9</v>
      </c>
      <c r="C18" s="6">
        <v>2006.0526315789473</v>
      </c>
    </row>
    <row r="19" spans="1:3" x14ac:dyDescent="0.35">
      <c r="B19" t="s">
        <v>10</v>
      </c>
      <c r="C19" s="6">
        <v>2812.1739130434785</v>
      </c>
    </row>
    <row r="20" spans="1:3" x14ac:dyDescent="0.35">
      <c r="B20" t="s">
        <v>11</v>
      </c>
      <c r="C20" s="6">
        <v>2205</v>
      </c>
    </row>
    <row r="21" spans="1:3" x14ac:dyDescent="0.35">
      <c r="B21" t="s">
        <v>12</v>
      </c>
      <c r="C21" s="6">
        <v>4235</v>
      </c>
    </row>
    <row r="22" spans="1:3" x14ac:dyDescent="0.35">
      <c r="A22">
        <v>2019</v>
      </c>
      <c r="B22" t="s">
        <v>3</v>
      </c>
      <c r="C22" s="6">
        <v>440</v>
      </c>
    </row>
    <row r="23" spans="1:3" x14ac:dyDescent="0.35">
      <c r="B23" t="s">
        <v>4</v>
      </c>
      <c r="C23" s="6">
        <v>404.25</v>
      </c>
    </row>
    <row r="24" spans="1:3" x14ac:dyDescent="0.35">
      <c r="B24" t="s">
        <v>5</v>
      </c>
      <c r="C24" s="6">
        <v>1484.9999999999998</v>
      </c>
    </row>
    <row r="25" spans="1:3" x14ac:dyDescent="0.35">
      <c r="B25" t="s">
        <v>6</v>
      </c>
      <c r="C25" s="6">
        <v>750.75</v>
      </c>
    </row>
    <row r="26" spans="1:3" x14ac:dyDescent="0.35">
      <c r="B26" t="s">
        <v>7</v>
      </c>
      <c r="C26" s="6">
        <v>3150</v>
      </c>
    </row>
    <row r="27" spans="1:3" x14ac:dyDescent="0.35">
      <c r="B27" t="s">
        <v>8</v>
      </c>
      <c r="C27" s="6">
        <v>1102.5</v>
      </c>
    </row>
    <row r="28" spans="1:3" x14ac:dyDescent="0.35">
      <c r="B28" t="s">
        <v>9</v>
      </c>
      <c r="C28" s="6">
        <v>1484.9999999999998</v>
      </c>
    </row>
    <row r="29" spans="1:3" x14ac:dyDescent="0.35">
      <c r="B29" t="s">
        <v>10</v>
      </c>
      <c r="C29" s="6">
        <v>420</v>
      </c>
    </row>
    <row r="30" spans="1:3" x14ac:dyDescent="0.35">
      <c r="B30" t="s">
        <v>11</v>
      </c>
      <c r="C30" s="6">
        <v>2090</v>
      </c>
    </row>
    <row r="31" spans="1:3" x14ac:dyDescent="0.35">
      <c r="B31" t="s">
        <v>12</v>
      </c>
      <c r="C31" s="6">
        <v>2674.7368421052629</v>
      </c>
    </row>
    <row r="32" spans="1:3" x14ac:dyDescent="0.35">
      <c r="A32">
        <v>2020</v>
      </c>
      <c r="B32" t="s">
        <v>3</v>
      </c>
      <c r="C32" s="6">
        <v>2677.5</v>
      </c>
    </row>
    <row r="33" spans="1:3" x14ac:dyDescent="0.35">
      <c r="B33" t="s">
        <v>4</v>
      </c>
      <c r="C33" s="6">
        <v>1212.75</v>
      </c>
    </row>
    <row r="34" spans="1:3" x14ac:dyDescent="0.35">
      <c r="B34" t="s">
        <v>5</v>
      </c>
      <c r="C34" s="6">
        <v>2066.8421052631579</v>
      </c>
    </row>
    <row r="35" spans="1:3" x14ac:dyDescent="0.35">
      <c r="B35" t="s">
        <v>6</v>
      </c>
      <c r="C35" s="6">
        <v>2362.5</v>
      </c>
    </row>
    <row r="36" spans="1:3" x14ac:dyDescent="0.35">
      <c r="B36" t="s">
        <v>7</v>
      </c>
      <c r="C36" s="6">
        <v>2310</v>
      </c>
    </row>
    <row r="37" spans="1:3" x14ac:dyDescent="0.35">
      <c r="B37" t="s">
        <v>8</v>
      </c>
      <c r="C37" s="6">
        <v>1375</v>
      </c>
    </row>
    <row r="38" spans="1:3" x14ac:dyDescent="0.35">
      <c r="B38" t="s">
        <v>9</v>
      </c>
      <c r="C38" s="6">
        <v>2914.9999999999995</v>
      </c>
    </row>
    <row r="39" spans="1:3" x14ac:dyDescent="0.35">
      <c r="B39" t="s">
        <v>10</v>
      </c>
      <c r="C39" s="6">
        <v>2365</v>
      </c>
    </row>
    <row r="40" spans="1:3" x14ac:dyDescent="0.35">
      <c r="B40" t="s">
        <v>11</v>
      </c>
      <c r="C40" s="6">
        <v>2425.5</v>
      </c>
    </row>
    <row r="41" spans="1:3" x14ac:dyDescent="0.35">
      <c r="B41" t="s">
        <v>12</v>
      </c>
      <c r="C41" s="6">
        <v>1430.0000000000002</v>
      </c>
    </row>
    <row r="42" spans="1:3" x14ac:dyDescent="0.35">
      <c r="A42">
        <v>2021</v>
      </c>
      <c r="B42" t="s">
        <v>3</v>
      </c>
      <c r="C42" s="6">
        <v>753.26086956521738</v>
      </c>
    </row>
    <row r="43" spans="1:3" x14ac:dyDescent="0.35">
      <c r="B43" t="s">
        <v>4</v>
      </c>
      <c r="C43" s="6">
        <v>3060.75</v>
      </c>
    </row>
    <row r="44" spans="1:3" x14ac:dyDescent="0.35">
      <c r="B44" t="s">
        <v>5</v>
      </c>
      <c r="C44" s="6">
        <v>165</v>
      </c>
    </row>
    <row r="45" spans="1:3" x14ac:dyDescent="0.35">
      <c r="B45" t="s">
        <v>6</v>
      </c>
      <c r="C45" s="6">
        <v>1732.5</v>
      </c>
    </row>
    <row r="46" spans="1:3" x14ac:dyDescent="0.35">
      <c r="B46" t="s">
        <v>7</v>
      </c>
      <c r="C46" s="6">
        <v>1963.5</v>
      </c>
    </row>
    <row r="47" spans="1:3" x14ac:dyDescent="0.35">
      <c r="B47" t="s">
        <v>8</v>
      </c>
      <c r="C47" s="6">
        <v>1890</v>
      </c>
    </row>
    <row r="48" spans="1:3" x14ac:dyDescent="0.35">
      <c r="B48" t="s">
        <v>9</v>
      </c>
      <c r="C48" s="6">
        <v>2034.9999999999998</v>
      </c>
    </row>
    <row r="49" spans="1:3" x14ac:dyDescent="0.35">
      <c r="B49" t="s">
        <v>10</v>
      </c>
      <c r="C49" s="6">
        <v>1097.25</v>
      </c>
    </row>
    <row r="50" spans="1:3" x14ac:dyDescent="0.35">
      <c r="B50" t="s">
        <v>11</v>
      </c>
      <c r="C50" s="6">
        <v>550</v>
      </c>
    </row>
    <row r="51" spans="1:3" x14ac:dyDescent="0.35">
      <c r="B51" t="s">
        <v>12</v>
      </c>
      <c r="C51" s="6">
        <v>1312.5</v>
      </c>
    </row>
    <row r="53" spans="1:3" x14ac:dyDescent="0.35">
      <c r="A53" s="5" t="s">
        <v>26</v>
      </c>
      <c r="C53">
        <f>AVERAGE(C2:C51)</f>
        <v>1813.9405606407322</v>
      </c>
    </row>
    <row r="54" spans="1:3" x14ac:dyDescent="0.35">
      <c r="A54" s="5" t="s">
        <v>27</v>
      </c>
      <c r="C54">
        <f>_xlfn.STDEV.S(C2:C51)</f>
        <v>923.9851050768649</v>
      </c>
    </row>
  </sheetData>
  <sortState xmlns:xlrd2="http://schemas.microsoft.com/office/spreadsheetml/2017/richdata2" ref="G8:G14">
    <sortCondition ref="G8"/>
  </sortState>
  <mergeCells count="1">
    <mergeCell ref="E1:F1"/>
  </mergeCells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DC929-6A30-4C5E-96AE-EAE158FCEBE0}">
  <dimension ref="A1:J32"/>
  <sheetViews>
    <sheetView workbookViewId="0">
      <selection activeCell="D1" sqref="D1"/>
    </sheetView>
  </sheetViews>
  <sheetFormatPr defaultRowHeight="14.5" x14ac:dyDescent="0.35"/>
  <cols>
    <col min="1" max="1" width="38.6328125" bestFit="1" customWidth="1"/>
  </cols>
  <sheetData>
    <row r="1" spans="1:10" x14ac:dyDescent="0.35">
      <c r="A1" t="s">
        <v>37</v>
      </c>
      <c r="B1">
        <v>21</v>
      </c>
    </row>
    <row r="2" spans="1:10" x14ac:dyDescent="0.35">
      <c r="A2" t="s">
        <v>38</v>
      </c>
      <c r="B2">
        <v>10</v>
      </c>
    </row>
    <row r="3" spans="1:10" x14ac:dyDescent="0.35">
      <c r="A3" t="s">
        <v>53</v>
      </c>
      <c r="B3">
        <v>1814</v>
      </c>
    </row>
    <row r="4" spans="1:10" x14ac:dyDescent="0.35">
      <c r="A4" t="s">
        <v>54</v>
      </c>
      <c r="B4">
        <f>B3/B1</f>
        <v>86.38095238095238</v>
      </c>
    </row>
    <row r="5" spans="1:10" x14ac:dyDescent="0.35">
      <c r="A5" t="s">
        <v>55</v>
      </c>
      <c r="B5">
        <v>924</v>
      </c>
    </row>
    <row r="6" spans="1:10" x14ac:dyDescent="0.35">
      <c r="A6" t="s">
        <v>39</v>
      </c>
      <c r="B6">
        <f>B5*B5</f>
        <v>853776</v>
      </c>
    </row>
    <row r="7" spans="1:10" x14ac:dyDescent="0.35">
      <c r="A7" t="s">
        <v>40</v>
      </c>
      <c r="B7">
        <f>B6/B1</f>
        <v>40656</v>
      </c>
    </row>
    <row r="8" spans="1:10" x14ac:dyDescent="0.35">
      <c r="A8" t="s">
        <v>56</v>
      </c>
      <c r="B8">
        <f>SQRT(B7)</f>
        <v>201.63333057805696</v>
      </c>
    </row>
    <row r="9" spans="1:10" x14ac:dyDescent="0.35">
      <c r="A9" t="s">
        <v>41</v>
      </c>
      <c r="B9">
        <v>1</v>
      </c>
    </row>
    <row r="10" spans="1:10" x14ac:dyDescent="0.35">
      <c r="A10" t="s">
        <v>42</v>
      </c>
      <c r="B10">
        <v>1</v>
      </c>
    </row>
    <row r="11" spans="1:10" x14ac:dyDescent="0.35">
      <c r="A11" t="s">
        <v>43</v>
      </c>
      <c r="B11">
        <v>21</v>
      </c>
    </row>
    <row r="12" spans="1:10" x14ac:dyDescent="0.35">
      <c r="A12" t="s">
        <v>44</v>
      </c>
      <c r="B12">
        <v>2</v>
      </c>
    </row>
    <row r="13" spans="1:10" x14ac:dyDescent="0.35">
      <c r="F13" s="7"/>
    </row>
    <row r="14" spans="1:10" x14ac:dyDescent="0.35">
      <c r="A14" t="s">
        <v>57</v>
      </c>
    </row>
    <row r="15" spans="1:10" x14ac:dyDescent="0.35">
      <c r="A15" s="2" t="s">
        <v>45</v>
      </c>
      <c r="B15" s="8">
        <v>0.99</v>
      </c>
      <c r="C15" s="8">
        <v>0.95</v>
      </c>
      <c r="D15" s="8">
        <v>0.9</v>
      </c>
      <c r="E15" s="8">
        <v>0.8</v>
      </c>
    </row>
    <row r="16" spans="1:10" x14ac:dyDescent="0.35">
      <c r="A16" s="2" t="s">
        <v>46</v>
      </c>
      <c r="B16" s="2">
        <f>$B$4*($B$11+$B$9)+_xlfn.NORM.INV(B15,0,1)*$B$8*SQRT($B$11+$B$9)</f>
        <v>4100.510848490906</v>
      </c>
      <c r="C16" s="2">
        <f>$B$4*($B$11+$B$9)+_xlfn.NORM.INV(C15,0,1)*$B$8*SQRT($B$11+$B$9)</f>
        <v>3455.9916500599911</v>
      </c>
      <c r="D16" s="2">
        <f t="shared" ref="D16" si="0">$B$4*($B$11+$B$9)+_xlfn.NORM.INV(D15,0,1)*$B$8*SQRT($B$11+$B$9)</f>
        <v>3112.4008502750758</v>
      </c>
      <c r="E16" s="2">
        <f>$B$4*($B$11+$B$9)+_xlfn.NORM.INV(E15,0,1)*$B$8*SQRT($B$11+$B$9)</f>
        <v>2696.3393117678343</v>
      </c>
      <c r="I16" s="5"/>
      <c r="J16" s="5"/>
    </row>
    <row r="17" spans="1:5" x14ac:dyDescent="0.35">
      <c r="A17" s="2" t="s">
        <v>47</v>
      </c>
      <c r="B17" s="2">
        <f>_xlfn.NORM.INV(B15,0,1)*$B$8*SQRT($B$11+$B$9)</f>
        <v>2200.1298961099537</v>
      </c>
      <c r="C17" s="2">
        <f>_xlfn.NORM.INV(C15,0,1)*$B$8*SQRT($B$11+$B$9)</f>
        <v>1555.610697679039</v>
      </c>
      <c r="D17" s="2">
        <f>_xlfn.NORM.INV(D15,0,1)*$B$8*SQRT($B$11+$B$9)</f>
        <v>1212.0198978941232</v>
      </c>
      <c r="E17" s="2">
        <f>_xlfn.NORM.INV(E15,0,1)*$B$8*SQRT($B$11+$B$9)</f>
        <v>795.95835938688185</v>
      </c>
    </row>
    <row r="19" spans="1:5" x14ac:dyDescent="0.35">
      <c r="A19" t="s">
        <v>48</v>
      </c>
    </row>
    <row r="20" spans="1:5" x14ac:dyDescent="0.35">
      <c r="A20" s="2" t="s">
        <v>45</v>
      </c>
      <c r="B20" s="8">
        <v>0.99</v>
      </c>
      <c r="C20" s="8">
        <v>0.95</v>
      </c>
      <c r="D20" s="8">
        <v>0.9</v>
      </c>
      <c r="E20" s="8">
        <v>0.8</v>
      </c>
    </row>
    <row r="21" spans="1:5" x14ac:dyDescent="0.35">
      <c r="A21" s="2" t="s">
        <v>46</v>
      </c>
      <c r="B21" s="2">
        <f>$B$4*($B$11+$B$9)+_xlfn.NORM.INV(B20,0,1)*SQRT($B$7*($B$11+$B$9)+$B$12*$B$12*$B$4*$B$4)</f>
        <v>4136.918145893088</v>
      </c>
      <c r="C21" s="2">
        <f t="shared" ref="C21:E21" si="1">$B$4*($B$11+$B$9)+_xlfn.NORM.INV(C20,0,1)*SQRT($B$7*($B$11+$B$9)+$B$12*$B$12*$B$4*$B$4)</f>
        <v>3481.733576212876</v>
      </c>
      <c r="D21" s="2">
        <f t="shared" si="1"/>
        <v>3132.4571064797719</v>
      </c>
      <c r="E21" s="2">
        <f t="shared" si="1"/>
        <v>2709.510667132437</v>
      </c>
    </row>
    <row r="22" spans="1:5" x14ac:dyDescent="0.35">
      <c r="A22" s="2" t="s">
        <v>47</v>
      </c>
      <c r="B22" s="2">
        <f>_xlfn.NORM.INV(B20,0,1)*SQRT($B$7*($B$11+$B$9)+$B$12*$B$12*$B$4*$B$4)</f>
        <v>2236.5371935121357</v>
      </c>
      <c r="C22" s="2">
        <f t="shared" ref="C22:E22" si="2">_xlfn.NORM.INV(C20,0,1)*SQRT($B$7*($B$11+$B$9)+$B$12*$B$12*$B$4*$B$4)</f>
        <v>1581.3526238319239</v>
      </c>
      <c r="D22" s="2">
        <f t="shared" si="2"/>
        <v>1232.0761540988199</v>
      </c>
      <c r="E22" s="2">
        <f t="shared" si="2"/>
        <v>809.1297147514847</v>
      </c>
    </row>
    <row r="24" spans="1:5" x14ac:dyDescent="0.35">
      <c r="A24" t="s">
        <v>49</v>
      </c>
    </row>
    <row r="25" spans="1:5" x14ac:dyDescent="0.35">
      <c r="A25" s="2" t="s">
        <v>45</v>
      </c>
      <c r="B25" s="8">
        <v>0.99</v>
      </c>
      <c r="C25" s="8">
        <v>0.95</v>
      </c>
      <c r="D25" s="8">
        <v>0.9</v>
      </c>
      <c r="E25" s="8">
        <v>0.8</v>
      </c>
    </row>
    <row r="26" spans="1:5" x14ac:dyDescent="0.35">
      <c r="A26" s="2" t="s">
        <v>46</v>
      </c>
      <c r="B26" s="18">
        <f>$B$4*($B$11*2+$B$9)+_xlfn.NORM.INV(B25,0,1)*$B$8*SQRT($B$11*2+$B$9)</f>
        <v>6790.2738535601602</v>
      </c>
      <c r="C26" s="18">
        <f t="shared" ref="C26:E26" si="3">$B$4*($B$11*2+$B$9)+_xlfn.NORM.INV(C25,0,1)*$B$8*SQRT($B$11*2+$B$9)</f>
        <v>5889.2034073866998</v>
      </c>
      <c r="D26" s="18">
        <f t="shared" si="3"/>
        <v>5408.8460867405329</v>
      </c>
      <c r="E26" s="18">
        <f t="shared" si="3"/>
        <v>4827.171007005074</v>
      </c>
    </row>
    <row r="27" spans="1:5" x14ac:dyDescent="0.35">
      <c r="A27" s="2" t="s">
        <v>47</v>
      </c>
      <c r="B27" s="18">
        <f>_xlfn.NORM.INV(B25,0,1)*$B$8*SQRT($B$11*2+$B$9)</f>
        <v>3075.8929011792079</v>
      </c>
      <c r="C27" s="18">
        <f t="shared" ref="C27:E27" si="4">_xlfn.NORM.INV(C25,0,1)*$B$8*SQRT($B$11*2+$B$9)</f>
        <v>2174.822455005748</v>
      </c>
      <c r="D27" s="18">
        <f t="shared" si="4"/>
        <v>1694.4651343595804</v>
      </c>
      <c r="E27" s="18">
        <f t="shared" si="4"/>
        <v>1112.7900546241217</v>
      </c>
    </row>
    <row r="30" spans="1:5" x14ac:dyDescent="0.35">
      <c r="A30" s="2" t="s">
        <v>45</v>
      </c>
      <c r="B30" s="8">
        <v>0.99</v>
      </c>
      <c r="C30" s="8">
        <v>0.95</v>
      </c>
      <c r="D30" s="8">
        <v>0.9</v>
      </c>
      <c r="E30" s="8">
        <v>0.8</v>
      </c>
    </row>
    <row r="31" spans="1:5" x14ac:dyDescent="0.35">
      <c r="A31" s="2" t="s">
        <v>46</v>
      </c>
      <c r="B31" s="2">
        <f>$B$4*($B$11*2+$B$9)+_xlfn.NORM.INV(B30,0,1)*SQRT($B$7*($B$11*2+$B$9)+$B$12*$B$12*$B$4*$B$4)</f>
        <v>6816.4196687304102</v>
      </c>
      <c r="C31" s="2">
        <f t="shared" ref="C31:E31" si="5">$B$4*($B$11*2+$B$9)+_xlfn.NORM.INV(C30,0,1)*SQRT($B$7*($B$11*2+$B$9)+$B$12*$B$12*$B$4*$B$4)</f>
        <v>5907.6899112291749</v>
      </c>
      <c r="D31" s="2">
        <f t="shared" si="5"/>
        <v>5423.2494400557316</v>
      </c>
      <c r="E31" s="2">
        <f t="shared" si="5"/>
        <v>4836.6299849429406</v>
      </c>
    </row>
    <row r="32" spans="1:5" x14ac:dyDescent="0.35">
      <c r="A32" s="2" t="s">
        <v>47</v>
      </c>
      <c r="B32" s="2">
        <f>_xlfn.NORM.INV(B30,0,1)*SQRT($B$7*($B$11*2+$B$9)+$B$12*$B$12*$B$4*$B$4)</f>
        <v>3102.0387163494574</v>
      </c>
      <c r="C32" s="2">
        <f t="shared" ref="C32:E32" si="6">_xlfn.NORM.INV(C30,0,1)*SQRT($B$7*($B$11*2+$B$9)+$B$12*$B$12*$B$4*$B$4)</f>
        <v>2193.3089588482226</v>
      </c>
      <c r="D32" s="2">
        <f t="shared" si="6"/>
        <v>1708.8684876747798</v>
      </c>
      <c r="E32" s="2">
        <f t="shared" si="6"/>
        <v>1122.2490325619881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8480F-8412-4C89-B02C-A75ABF822494}">
  <dimension ref="A1:G20"/>
  <sheetViews>
    <sheetView workbookViewId="0">
      <selection activeCell="C1" sqref="C1"/>
    </sheetView>
  </sheetViews>
  <sheetFormatPr defaultRowHeight="14.5" x14ac:dyDescent="0.35"/>
  <cols>
    <col min="1" max="1" width="39.36328125" bestFit="1" customWidth="1"/>
  </cols>
  <sheetData>
    <row r="1" spans="1:2" x14ac:dyDescent="0.35">
      <c r="A1" t="s">
        <v>37</v>
      </c>
      <c r="B1">
        <v>21</v>
      </c>
    </row>
    <row r="2" spans="1:2" x14ac:dyDescent="0.35">
      <c r="A2" t="s">
        <v>38</v>
      </c>
      <c r="B2">
        <v>10</v>
      </c>
    </row>
    <row r="3" spans="1:2" x14ac:dyDescent="0.35">
      <c r="A3" t="s">
        <v>53</v>
      </c>
      <c r="B3">
        <v>1814</v>
      </c>
    </row>
    <row r="4" spans="1:2" x14ac:dyDescent="0.35">
      <c r="A4" t="s">
        <v>54</v>
      </c>
      <c r="B4">
        <f>B3/B1</f>
        <v>86.38095238095238</v>
      </c>
    </row>
    <row r="5" spans="1:2" x14ac:dyDescent="0.35">
      <c r="A5" t="s">
        <v>55</v>
      </c>
      <c r="B5">
        <v>924</v>
      </c>
    </row>
    <row r="6" spans="1:2" x14ac:dyDescent="0.35">
      <c r="A6" t="s">
        <v>39</v>
      </c>
      <c r="B6">
        <f>B5*B5</f>
        <v>853776</v>
      </c>
    </row>
    <row r="7" spans="1:2" x14ac:dyDescent="0.35">
      <c r="A7" t="s">
        <v>40</v>
      </c>
      <c r="B7">
        <f>B6/B1</f>
        <v>40656</v>
      </c>
    </row>
    <row r="8" spans="1:2" x14ac:dyDescent="0.35">
      <c r="A8" t="s">
        <v>56</v>
      </c>
      <c r="B8">
        <f>SQRT(B7)</f>
        <v>201.63333057805696</v>
      </c>
    </row>
    <row r="9" spans="1:2" x14ac:dyDescent="0.35">
      <c r="A9" t="s">
        <v>41</v>
      </c>
      <c r="B9">
        <v>1</v>
      </c>
    </row>
    <row r="10" spans="1:2" x14ac:dyDescent="0.35">
      <c r="A10" t="s">
        <v>42</v>
      </c>
      <c r="B10">
        <v>1</v>
      </c>
    </row>
    <row r="11" spans="1:2" x14ac:dyDescent="0.35">
      <c r="A11" t="s">
        <v>43</v>
      </c>
      <c r="B11">
        <v>21</v>
      </c>
    </row>
    <row r="12" spans="1:2" x14ac:dyDescent="0.35">
      <c r="A12" t="s">
        <v>44</v>
      </c>
      <c r="B12">
        <v>2</v>
      </c>
    </row>
    <row r="13" spans="1:2" x14ac:dyDescent="0.35">
      <c r="A13" t="s">
        <v>100</v>
      </c>
      <c r="B13" s="20">
        <v>12.75</v>
      </c>
    </row>
    <row r="14" spans="1:2" x14ac:dyDescent="0.35">
      <c r="A14" t="s">
        <v>101</v>
      </c>
      <c r="B14" s="19">
        <v>0.8498</v>
      </c>
    </row>
    <row r="15" spans="1:2" x14ac:dyDescent="0.35">
      <c r="A15" t="s">
        <v>102</v>
      </c>
      <c r="B15">
        <v>100</v>
      </c>
    </row>
    <row r="18" spans="1:7" x14ac:dyDescent="0.35">
      <c r="A18" s="2" t="s">
        <v>45</v>
      </c>
      <c r="B18" s="8">
        <v>0.99</v>
      </c>
      <c r="C18" s="8">
        <v>0.95</v>
      </c>
      <c r="D18" s="8">
        <v>0.9</v>
      </c>
      <c r="E18" s="8">
        <v>0.8</v>
      </c>
    </row>
    <row r="19" spans="1:7" x14ac:dyDescent="0.35">
      <c r="A19" s="2" t="s">
        <v>103</v>
      </c>
      <c r="B19" s="18">
        <f>$B$4+_xlfn.NORM.INV(B18,0,1)*$B$8*SQRT(1)</f>
        <v>555.45022230698919</v>
      </c>
      <c r="C19" s="18">
        <f t="shared" ref="C19:D19" si="0">$B$4+_xlfn.NORM.INV(C18,0,1)*$B$8*SQRT(1)</f>
        <v>418.03826749657446</v>
      </c>
      <c r="D19" s="18">
        <f t="shared" si="0"/>
        <v>344.78446284923325</v>
      </c>
      <c r="E19" s="18">
        <f>$B$4+_xlfn.NORM.INV(E18,0,1)*$B$8*SQRT(1)</f>
        <v>256.079844791472</v>
      </c>
    </row>
    <row r="20" spans="1:7" x14ac:dyDescent="0.35">
      <c r="A20" s="2" t="s">
        <v>104</v>
      </c>
      <c r="B20" s="18">
        <f>_xlfn.NORM.INV(B18,0,1)*$B$8*SQRT(1)</f>
        <v>469.06926992603684</v>
      </c>
      <c r="C20" s="18">
        <f t="shared" ref="C20:E20" si="1">_xlfn.NORM.INV(C18,0,1)*$B$8*SQRT(1)</f>
        <v>331.65731511562205</v>
      </c>
      <c r="D20" s="18">
        <f t="shared" si="1"/>
        <v>258.4035104682809</v>
      </c>
      <c r="E20" s="18">
        <f t="shared" si="1"/>
        <v>169.69889241051962</v>
      </c>
      <c r="G20" s="62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EC875-81C9-4112-91B3-CFF67C09A9A4}">
  <dimension ref="A1:L241"/>
  <sheetViews>
    <sheetView zoomScale="70" zoomScaleNormal="70" workbookViewId="0">
      <selection activeCell="D1" sqref="D1"/>
    </sheetView>
  </sheetViews>
  <sheetFormatPr defaultRowHeight="14.5" x14ac:dyDescent="0.35"/>
  <cols>
    <col min="1" max="1" width="24.54296875" bestFit="1" customWidth="1"/>
    <col min="2" max="2" width="17" bestFit="1" customWidth="1"/>
    <col min="3" max="3" width="18.7265625" bestFit="1" customWidth="1"/>
    <col min="4" max="4" width="32.26953125" bestFit="1" customWidth="1"/>
    <col min="5" max="5" width="18.1796875" bestFit="1" customWidth="1"/>
    <col min="6" max="6" width="18.54296875" bestFit="1" customWidth="1"/>
    <col min="7" max="7" width="16" bestFit="1" customWidth="1"/>
    <col min="8" max="8" width="28.54296875" bestFit="1" customWidth="1"/>
    <col min="10" max="10" width="16.7265625" bestFit="1" customWidth="1"/>
    <col min="11" max="11" width="19.08984375" bestFit="1" customWidth="1"/>
    <col min="12" max="12" width="14.54296875" bestFit="1" customWidth="1"/>
  </cols>
  <sheetData>
    <row r="1" spans="1:8" x14ac:dyDescent="0.35">
      <c r="A1" s="2" t="s">
        <v>105</v>
      </c>
      <c r="B1" s="2" t="s">
        <v>107</v>
      </c>
      <c r="C1" s="2" t="s">
        <v>106</v>
      </c>
    </row>
    <row r="2" spans="1:8" x14ac:dyDescent="0.35">
      <c r="A2" s="21">
        <v>44286</v>
      </c>
      <c r="B2" s="2">
        <v>1815</v>
      </c>
      <c r="C2" s="18">
        <f>12.75*B2</f>
        <v>23141.25</v>
      </c>
    </row>
    <row r="3" spans="1:8" x14ac:dyDescent="0.35">
      <c r="A3" s="21">
        <v>44312</v>
      </c>
      <c r="B3" s="2">
        <v>1815</v>
      </c>
      <c r="C3" s="18">
        <f t="shared" ref="C3:C7" si="0">12.75*B3</f>
        <v>23141.25</v>
      </c>
    </row>
    <row r="4" spans="1:8" x14ac:dyDescent="0.35">
      <c r="A4" s="21">
        <v>44322</v>
      </c>
      <c r="B4" s="2">
        <v>1815</v>
      </c>
      <c r="C4" s="18">
        <f t="shared" si="0"/>
        <v>23141.25</v>
      </c>
    </row>
    <row r="5" spans="1:8" x14ac:dyDescent="0.35">
      <c r="A5" s="21">
        <v>44385</v>
      </c>
      <c r="B5" s="2">
        <v>1815</v>
      </c>
      <c r="C5" s="18">
        <f t="shared" si="0"/>
        <v>23141.25</v>
      </c>
    </row>
    <row r="6" spans="1:8" x14ac:dyDescent="0.35">
      <c r="A6" s="21">
        <v>44421</v>
      </c>
      <c r="B6" s="2">
        <v>1815</v>
      </c>
      <c r="C6" s="18">
        <f t="shared" si="0"/>
        <v>23141.25</v>
      </c>
    </row>
    <row r="7" spans="1:8" x14ac:dyDescent="0.35">
      <c r="A7" s="21">
        <v>44448</v>
      </c>
      <c r="B7" s="2">
        <v>3630</v>
      </c>
      <c r="C7" s="18">
        <f t="shared" si="0"/>
        <v>46282.5</v>
      </c>
    </row>
    <row r="10" spans="1:8" x14ac:dyDescent="0.35">
      <c r="A10" t="s">
        <v>108</v>
      </c>
      <c r="B10" t="s">
        <v>141</v>
      </c>
      <c r="C10" t="s">
        <v>50</v>
      </c>
      <c r="D10" t="s">
        <v>142</v>
      </c>
      <c r="E10" t="s">
        <v>109</v>
      </c>
      <c r="F10" t="s">
        <v>15</v>
      </c>
      <c r="G10" t="s">
        <v>110</v>
      </c>
      <c r="H10" t="s">
        <v>111</v>
      </c>
    </row>
    <row r="11" spans="1:8" x14ac:dyDescent="0.35">
      <c r="A11" s="5" t="s">
        <v>112</v>
      </c>
      <c r="B11">
        <v>0</v>
      </c>
      <c r="C11">
        <v>0</v>
      </c>
      <c r="D11">
        <v>5168</v>
      </c>
      <c r="E11" s="5">
        <v>5168</v>
      </c>
      <c r="F11" s="5">
        <v>20</v>
      </c>
      <c r="G11" s="5">
        <v>31</v>
      </c>
      <c r="H11" s="6">
        <f>E11*G11</f>
        <v>160208</v>
      </c>
    </row>
    <row r="12" spans="1:8" x14ac:dyDescent="0.35">
      <c r="A12" s="5" t="s">
        <v>113</v>
      </c>
      <c r="B12">
        <v>0</v>
      </c>
      <c r="C12">
        <v>0</v>
      </c>
      <c r="D12">
        <v>5168</v>
      </c>
      <c r="E12" s="5">
        <v>5168</v>
      </c>
      <c r="F12" s="5">
        <v>20</v>
      </c>
      <c r="G12" s="5">
        <v>28</v>
      </c>
      <c r="H12" s="6">
        <f t="shared" ref="H12" si="1">E12*G12</f>
        <v>144704</v>
      </c>
    </row>
    <row r="13" spans="1:8" s="27" customFormat="1" x14ac:dyDescent="0.35">
      <c r="A13" s="24" t="s">
        <v>115</v>
      </c>
      <c r="B13" s="25">
        <f>825*22/23</f>
        <v>789.13043478260875</v>
      </c>
      <c r="C13" s="24">
        <v>0</v>
      </c>
      <c r="D13" s="25">
        <f>D12-B13+C13</f>
        <v>4378.869565217391</v>
      </c>
      <c r="E13" s="25">
        <f>(D12+D13)/2</f>
        <v>4773.434782608696</v>
      </c>
      <c r="F13" s="24">
        <v>22</v>
      </c>
      <c r="G13" s="24">
        <v>30</v>
      </c>
    </row>
    <row r="14" spans="1:8" s="27" customFormat="1" x14ac:dyDescent="0.35">
      <c r="A14" s="26">
        <v>44286</v>
      </c>
      <c r="B14" s="25">
        <f>825*1/23</f>
        <v>35.869565217391305</v>
      </c>
      <c r="C14" s="24">
        <v>1815</v>
      </c>
      <c r="D14" s="25">
        <f>D13-B14+C14</f>
        <v>6158</v>
      </c>
      <c r="E14" s="25">
        <v>6158</v>
      </c>
      <c r="F14" s="24">
        <v>1</v>
      </c>
      <c r="G14" s="24">
        <v>1</v>
      </c>
    </row>
    <row r="15" spans="1:8" x14ac:dyDescent="0.35">
      <c r="A15" s="5" t="s">
        <v>114</v>
      </c>
      <c r="E15" s="22">
        <f>E13*G13/G15+E14*G14/G15</f>
        <v>4818.0981767180929</v>
      </c>
      <c r="F15" s="5">
        <v>23</v>
      </c>
      <c r="G15" s="5">
        <v>31</v>
      </c>
      <c r="H15" s="6">
        <f>E15*G15</f>
        <v>149361.04347826086</v>
      </c>
    </row>
    <row r="16" spans="1:8" s="27" customFormat="1" x14ac:dyDescent="0.35">
      <c r="A16" s="24" t="s">
        <v>117</v>
      </c>
      <c r="B16" s="25">
        <f>2915*F16/F18</f>
        <v>2186.25</v>
      </c>
      <c r="C16" s="24">
        <v>0</v>
      </c>
      <c r="D16" s="25">
        <f>D14-B16+C16</f>
        <v>3971.75</v>
      </c>
      <c r="E16" s="25">
        <f>(D14+D16)/2</f>
        <v>5064.875</v>
      </c>
      <c r="F16" s="24">
        <v>15</v>
      </c>
      <c r="G16" s="24">
        <v>25</v>
      </c>
    </row>
    <row r="17" spans="1:8" s="27" customFormat="1" x14ac:dyDescent="0.35">
      <c r="A17" s="24" t="s">
        <v>118</v>
      </c>
      <c r="B17" s="25">
        <f>2915*F17/F18</f>
        <v>728.75</v>
      </c>
      <c r="C17" s="24">
        <v>1815</v>
      </c>
      <c r="D17" s="25">
        <f>D16-B17+C17</f>
        <v>5058</v>
      </c>
      <c r="E17" s="25">
        <f>(D16+C17+D17)/2</f>
        <v>5422.375</v>
      </c>
      <c r="F17" s="24">
        <v>5</v>
      </c>
      <c r="G17" s="24">
        <v>5</v>
      </c>
    </row>
    <row r="18" spans="1:8" x14ac:dyDescent="0.35">
      <c r="A18" s="5" t="s">
        <v>116</v>
      </c>
      <c r="E18" s="22">
        <f>((D14+D16)/2)*(G16/G18)+((D17+C17+D16)/2)*(G17/G18)</f>
        <v>5124.4583333333339</v>
      </c>
      <c r="F18" s="5">
        <v>20</v>
      </c>
      <c r="G18" s="5">
        <v>30</v>
      </c>
      <c r="H18" s="6">
        <f>E18*G18</f>
        <v>153733.75000000003</v>
      </c>
    </row>
    <row r="19" spans="1:8" s="27" customFormat="1" x14ac:dyDescent="0.35">
      <c r="A19" s="24" t="s">
        <v>119</v>
      </c>
      <c r="B19" s="25">
        <f>165*F19/F21</f>
        <v>23.571428571428573</v>
      </c>
      <c r="C19" s="24">
        <v>0</v>
      </c>
      <c r="D19" s="25">
        <f>D17-B19+C19</f>
        <v>5034.4285714285716</v>
      </c>
      <c r="E19" s="59">
        <f>D17*2/5+((D17+D19)/2)*3/5</f>
        <v>5050.9285714285716</v>
      </c>
      <c r="F19" s="24">
        <v>3</v>
      </c>
      <c r="G19" s="24">
        <v>5</v>
      </c>
    </row>
    <row r="20" spans="1:8" s="27" customFormat="1" x14ac:dyDescent="0.35">
      <c r="A20" s="24" t="s">
        <v>120</v>
      </c>
      <c r="B20" s="25">
        <f>165*F20/F21</f>
        <v>141.42857142857142</v>
      </c>
      <c r="C20" s="24">
        <v>1815</v>
      </c>
      <c r="D20" s="25">
        <f>D19-B20+C20</f>
        <v>6708</v>
      </c>
      <c r="E20" s="25">
        <f>(D19+C20+D20)/2</f>
        <v>6778.7142857142862</v>
      </c>
      <c r="F20" s="24">
        <v>18</v>
      </c>
      <c r="G20" s="24">
        <v>26</v>
      </c>
    </row>
    <row r="21" spans="1:8" x14ac:dyDescent="0.35">
      <c r="A21" s="5" t="s">
        <v>121</v>
      </c>
      <c r="E21" s="22">
        <f>((D17+D19)/2)*(G19/G21)+((D20+C20+D19)/2)*(G20/G21)</f>
        <v>6499.2788018433184</v>
      </c>
      <c r="F21" s="5">
        <v>21</v>
      </c>
      <c r="G21" s="5">
        <v>31</v>
      </c>
      <c r="H21" s="6">
        <f>E21*G21</f>
        <v>201477.64285714287</v>
      </c>
    </row>
    <row r="22" spans="1:8" x14ac:dyDescent="0.35">
      <c r="A22" s="5" t="s">
        <v>122</v>
      </c>
      <c r="B22">
        <v>1815</v>
      </c>
      <c r="C22" s="27">
        <v>0</v>
      </c>
      <c r="D22" s="6">
        <f>D20-B22</f>
        <v>4893</v>
      </c>
      <c r="E22" s="22">
        <f>(D20+D22)/2</f>
        <v>5800.5</v>
      </c>
      <c r="F22" s="5">
        <v>22</v>
      </c>
      <c r="G22" s="5">
        <v>30</v>
      </c>
      <c r="H22" s="6">
        <f t="shared" ref="H22" si="2">E22*G22</f>
        <v>174015</v>
      </c>
    </row>
    <row r="23" spans="1:8" s="27" customFormat="1" x14ac:dyDescent="0.35">
      <c r="A23" s="24" t="s">
        <v>124</v>
      </c>
      <c r="B23" s="25">
        <f>1870*F23/F25</f>
        <v>280.5</v>
      </c>
      <c r="C23" s="24">
        <v>0</v>
      </c>
      <c r="D23" s="25">
        <f>D22-B23+C23</f>
        <v>4612.5</v>
      </c>
      <c r="E23" s="25">
        <f>(D22+D23)/2</f>
        <v>4752.75</v>
      </c>
      <c r="F23" s="24">
        <v>3</v>
      </c>
      <c r="G23" s="24">
        <v>7</v>
      </c>
    </row>
    <row r="24" spans="1:8" s="27" customFormat="1" x14ac:dyDescent="0.35">
      <c r="A24" s="24" t="s">
        <v>125</v>
      </c>
      <c r="B24" s="25">
        <f>1870*F24/F25</f>
        <v>1589.5</v>
      </c>
      <c r="C24" s="24">
        <v>1815</v>
      </c>
      <c r="D24" s="25">
        <f>D23-B24+C24</f>
        <v>4838</v>
      </c>
      <c r="E24" s="25">
        <f>(D23+C24+D24)/2</f>
        <v>5632.75</v>
      </c>
      <c r="F24" s="24">
        <v>17</v>
      </c>
      <c r="G24" s="24">
        <v>24</v>
      </c>
    </row>
    <row r="25" spans="1:8" x14ac:dyDescent="0.35">
      <c r="A25" s="5" t="s">
        <v>123</v>
      </c>
      <c r="E25" s="22">
        <f>((D22+D23)/2)*(G23/G25)+((D24+C24+D23)/2)*(G24/G25)</f>
        <v>5434.0403225806458</v>
      </c>
      <c r="F25" s="22">
        <v>20</v>
      </c>
      <c r="G25" s="22">
        <v>31</v>
      </c>
      <c r="H25" s="6">
        <f>E25*G25</f>
        <v>168455.25000000003</v>
      </c>
    </row>
    <row r="26" spans="1:8" s="27" customFormat="1" x14ac:dyDescent="0.35">
      <c r="A26" s="24" t="s">
        <v>127</v>
      </c>
      <c r="B26" s="25">
        <f>1980*F26/F28</f>
        <v>810</v>
      </c>
      <c r="C26" s="24">
        <v>0</v>
      </c>
      <c r="D26" s="25">
        <f>D24-B26+C26</f>
        <v>4028</v>
      </c>
      <c r="E26" s="25">
        <f>D24*1/12+((D24+D26)/2)*11/12</f>
        <v>4466.75</v>
      </c>
      <c r="F26" s="24">
        <v>9</v>
      </c>
      <c r="G26" s="24">
        <v>12</v>
      </c>
    </row>
    <row r="27" spans="1:8" s="27" customFormat="1" x14ac:dyDescent="0.35">
      <c r="A27" s="24" t="s">
        <v>128</v>
      </c>
      <c r="B27" s="25">
        <f>1980*F27/F28</f>
        <v>1170</v>
      </c>
      <c r="C27" s="24">
        <v>1815</v>
      </c>
      <c r="D27" s="25">
        <f>D26-B27+C27</f>
        <v>4673</v>
      </c>
      <c r="E27" s="25">
        <f>(D26+C27+D27)/2</f>
        <v>5258</v>
      </c>
      <c r="F27" s="24">
        <v>13</v>
      </c>
      <c r="G27" s="24">
        <v>19</v>
      </c>
    </row>
    <row r="28" spans="1:8" x14ac:dyDescent="0.35">
      <c r="A28" s="28" t="s">
        <v>126</v>
      </c>
      <c r="E28" s="22">
        <f>((D24+D26)/2)*(G26/G28)+((D27+C27+D26)/2)*(G27/G28)</f>
        <v>4938.645161290322</v>
      </c>
      <c r="F28" s="22">
        <v>22</v>
      </c>
      <c r="G28" s="22">
        <v>31</v>
      </c>
      <c r="H28" s="6">
        <f>E28*G28</f>
        <v>153097.99999999997</v>
      </c>
    </row>
    <row r="29" spans="1:8" x14ac:dyDescent="0.35">
      <c r="A29" s="24" t="s">
        <v>129</v>
      </c>
      <c r="B29" s="25">
        <f>2035*F29/F31</f>
        <v>581.42857142857144</v>
      </c>
      <c r="C29" s="24">
        <v>0</v>
      </c>
      <c r="D29" s="25">
        <f>D27-B29+C29</f>
        <v>4091.5714285714284</v>
      </c>
      <c r="E29" s="25">
        <f>(D27+D29)/2</f>
        <v>4382.2857142857138</v>
      </c>
      <c r="F29" s="24">
        <v>6</v>
      </c>
      <c r="G29" s="24">
        <v>8</v>
      </c>
    </row>
    <row r="30" spans="1:8" x14ac:dyDescent="0.35">
      <c r="A30" s="24" t="s">
        <v>130</v>
      </c>
      <c r="B30" s="25">
        <f>2035*F30/F31</f>
        <v>1453.5714285714287</v>
      </c>
      <c r="C30" s="24">
        <v>3630</v>
      </c>
      <c r="D30" s="25">
        <f>D29-B30+C30</f>
        <v>6268</v>
      </c>
      <c r="E30" s="25">
        <f>(D29+C30+D30)/2</f>
        <v>6994.7857142857138</v>
      </c>
      <c r="F30" s="24">
        <v>15</v>
      </c>
      <c r="G30" s="24">
        <v>22</v>
      </c>
    </row>
    <row r="31" spans="1:8" x14ac:dyDescent="0.35">
      <c r="A31" s="28" t="s">
        <v>131</v>
      </c>
      <c r="E31" s="22">
        <f>((D27+D29)/2)*(G29/G31)+((D30+C30+D29)/2)*(G30/G31)</f>
        <v>6298.1190476190459</v>
      </c>
      <c r="F31" s="5">
        <v>21</v>
      </c>
      <c r="G31" s="5">
        <v>30</v>
      </c>
      <c r="H31" s="6">
        <f>E31*G31</f>
        <v>188943.57142857136</v>
      </c>
    </row>
    <row r="32" spans="1:8" x14ac:dyDescent="0.35">
      <c r="A32" s="28" t="s">
        <v>132</v>
      </c>
      <c r="B32">
        <v>1045</v>
      </c>
      <c r="C32" s="23">
        <v>0</v>
      </c>
      <c r="D32" s="6">
        <f>D30-B32</f>
        <v>5223</v>
      </c>
      <c r="E32" s="22">
        <f>(D30+D32)/2</f>
        <v>5745.5</v>
      </c>
      <c r="F32" s="22">
        <v>20</v>
      </c>
      <c r="G32" s="22">
        <v>31</v>
      </c>
      <c r="H32" s="6">
        <f t="shared" ref="H32:H33" si="3">E32*G32</f>
        <v>178110.5</v>
      </c>
    </row>
    <row r="33" spans="1:12" x14ac:dyDescent="0.35">
      <c r="A33" s="28" t="s">
        <v>133</v>
      </c>
      <c r="B33">
        <v>550</v>
      </c>
      <c r="C33" s="23">
        <v>0</v>
      </c>
      <c r="D33" s="6">
        <f>D32-B33</f>
        <v>4673</v>
      </c>
      <c r="E33" s="22">
        <f>(D32+D33)/2</f>
        <v>4948</v>
      </c>
      <c r="F33" s="5">
        <v>21</v>
      </c>
      <c r="G33" s="5">
        <v>30</v>
      </c>
      <c r="H33" s="6">
        <f t="shared" si="3"/>
        <v>148440</v>
      </c>
    </row>
    <row r="34" spans="1:12" x14ac:dyDescent="0.35">
      <c r="A34" s="28" t="s">
        <v>134</v>
      </c>
      <c r="B34">
        <v>1375</v>
      </c>
      <c r="C34" s="23">
        <v>0</v>
      </c>
      <c r="D34" s="6">
        <f>D33-B34</f>
        <v>3298</v>
      </c>
      <c r="E34" s="22">
        <f>(D33+D34)/2</f>
        <v>3985.5</v>
      </c>
      <c r="F34" s="5">
        <v>22</v>
      </c>
      <c r="G34" s="5">
        <v>31</v>
      </c>
      <c r="H34" s="6">
        <f>E34*G34</f>
        <v>123550.5</v>
      </c>
      <c r="J34" s="23" t="s">
        <v>136</v>
      </c>
      <c r="K34" s="23" t="s">
        <v>137</v>
      </c>
      <c r="L34" s="23" t="s">
        <v>138</v>
      </c>
    </row>
    <row r="35" spans="1:12" x14ac:dyDescent="0.35">
      <c r="A35" s="70" t="s">
        <v>135</v>
      </c>
      <c r="B35" s="70"/>
      <c r="C35" s="70"/>
      <c r="D35" s="70"/>
      <c r="E35" s="70"/>
      <c r="F35" s="70"/>
      <c r="G35" s="70"/>
      <c r="H35" s="29">
        <f>SUM(H11:H34)/365</f>
        <v>5326.2938568876025</v>
      </c>
      <c r="J35" s="6">
        <f>H35*12.75*0.8498</f>
        <v>57710.127624684326</v>
      </c>
      <c r="K35">
        <v>600</v>
      </c>
      <c r="L35" s="30">
        <f>J35+K35</f>
        <v>58310.127624684326</v>
      </c>
    </row>
    <row r="37" spans="1:12" x14ac:dyDescent="0.35">
      <c r="A37" s="68" t="s">
        <v>139</v>
      </c>
      <c r="B37" s="68"/>
      <c r="C37" s="68"/>
      <c r="D37" s="68"/>
      <c r="E37" s="68"/>
      <c r="F37" s="68"/>
      <c r="G37" s="68"/>
      <c r="H37" s="68"/>
    </row>
    <row r="38" spans="1:12" x14ac:dyDescent="0.35">
      <c r="A38" t="s">
        <v>14</v>
      </c>
      <c r="B38" t="s">
        <v>141</v>
      </c>
      <c r="C38" t="s">
        <v>50</v>
      </c>
      <c r="D38" t="s">
        <v>143</v>
      </c>
      <c r="E38" t="s">
        <v>109</v>
      </c>
      <c r="F38" s="32" t="s">
        <v>110</v>
      </c>
      <c r="G38" s="24" t="s">
        <v>140</v>
      </c>
      <c r="H38" t="s">
        <v>111</v>
      </c>
    </row>
    <row r="39" spans="1:12" x14ac:dyDescent="0.35">
      <c r="A39" t="s">
        <v>1</v>
      </c>
      <c r="B39">
        <v>0</v>
      </c>
      <c r="C39">
        <v>0</v>
      </c>
      <c r="D39">
        <v>5168</v>
      </c>
      <c r="E39">
        <v>5168</v>
      </c>
      <c r="F39" s="32">
        <v>31</v>
      </c>
      <c r="G39" s="24">
        <f>4100.51084849091-D39</f>
        <v>-1067.4891515090903</v>
      </c>
      <c r="H39">
        <f>E39*F39</f>
        <v>160208</v>
      </c>
    </row>
    <row r="40" spans="1:12" x14ac:dyDescent="0.35">
      <c r="A40" t="s">
        <v>2</v>
      </c>
      <c r="B40">
        <v>0</v>
      </c>
      <c r="C40">
        <v>0</v>
      </c>
      <c r="D40">
        <v>5168</v>
      </c>
      <c r="E40">
        <v>5168</v>
      </c>
      <c r="F40" s="32">
        <v>28</v>
      </c>
      <c r="G40" s="24">
        <f>4100.51084849091-D40</f>
        <v>-1067.4891515090903</v>
      </c>
      <c r="H40">
        <f t="shared" ref="H40:H50" si="4">E40*F40</f>
        <v>144704</v>
      </c>
    </row>
    <row r="41" spans="1:12" x14ac:dyDescent="0.35">
      <c r="A41" t="s">
        <v>3</v>
      </c>
      <c r="B41">
        <v>825</v>
      </c>
      <c r="C41">
        <v>0</v>
      </c>
      <c r="D41">
        <f>D40+C41-B41</f>
        <v>4343</v>
      </c>
      <c r="E41" s="6">
        <f>(D40+D41)/2</f>
        <v>4755.5</v>
      </c>
      <c r="F41" s="32">
        <v>31</v>
      </c>
      <c r="G41" s="24">
        <f>4100.51084849091-D41</f>
        <v>-242.48915150909033</v>
      </c>
      <c r="H41">
        <f t="shared" si="4"/>
        <v>147420.5</v>
      </c>
    </row>
    <row r="42" spans="1:12" x14ac:dyDescent="0.35">
      <c r="A42" t="s">
        <v>4</v>
      </c>
      <c r="B42">
        <v>2915</v>
      </c>
      <c r="C42">
        <v>0</v>
      </c>
      <c r="D42">
        <f t="shared" ref="D42:D50" si="5">D41+C42-B42</f>
        <v>1428</v>
      </c>
      <c r="E42" s="6">
        <f t="shared" ref="E42" si="6">(D41+D42)/2</f>
        <v>2885.5</v>
      </c>
      <c r="F42" s="32">
        <v>30</v>
      </c>
      <c r="G42" s="24">
        <f t="shared" ref="G42:G48" si="7">4100.51084849091-D42</f>
        <v>2672.5108484909097</v>
      </c>
      <c r="H42">
        <f t="shared" si="4"/>
        <v>86565</v>
      </c>
    </row>
    <row r="43" spans="1:12" x14ac:dyDescent="0.35">
      <c r="A43" t="s">
        <v>5</v>
      </c>
      <c r="B43">
        <v>165</v>
      </c>
      <c r="C43">
        <v>2695</v>
      </c>
      <c r="D43">
        <f>D42+C43-B43</f>
        <v>3958</v>
      </c>
      <c r="E43" s="6">
        <f>D42*2/31+((D42+C43+D43)/2)*29/31</f>
        <v>3871.9516129032259</v>
      </c>
      <c r="F43" s="32">
        <v>31</v>
      </c>
      <c r="G43" s="24">
        <f t="shared" si="7"/>
        <v>142.51084849090967</v>
      </c>
      <c r="H43">
        <f t="shared" si="4"/>
        <v>120030.5</v>
      </c>
    </row>
    <row r="44" spans="1:12" x14ac:dyDescent="0.35">
      <c r="A44" t="s">
        <v>6</v>
      </c>
      <c r="B44">
        <v>1815</v>
      </c>
      <c r="C44" s="34">
        <v>165</v>
      </c>
      <c r="D44">
        <f>D43+C44-B44</f>
        <v>2308</v>
      </c>
      <c r="E44" s="6">
        <f>(D43+C44+D44)/2</f>
        <v>3215.5</v>
      </c>
      <c r="F44" s="32">
        <v>30</v>
      </c>
      <c r="G44" s="24">
        <f t="shared" si="7"/>
        <v>1792.5108484909097</v>
      </c>
      <c r="H44">
        <f t="shared" si="4"/>
        <v>96465</v>
      </c>
    </row>
    <row r="45" spans="1:12" x14ac:dyDescent="0.35">
      <c r="A45" t="s">
        <v>7</v>
      </c>
      <c r="B45">
        <v>1870</v>
      </c>
      <c r="C45">
        <v>1815</v>
      </c>
      <c r="D45">
        <f t="shared" si="5"/>
        <v>2253</v>
      </c>
      <c r="E45" s="6">
        <f t="shared" ref="E45:E49" si="8">(D44+C45+D45)/2</f>
        <v>3188</v>
      </c>
      <c r="F45" s="32">
        <v>31</v>
      </c>
      <c r="G45" s="24">
        <f t="shared" si="7"/>
        <v>1847.5108484909097</v>
      </c>
      <c r="H45">
        <f t="shared" si="4"/>
        <v>98828</v>
      </c>
    </row>
    <row r="46" spans="1:12" x14ac:dyDescent="0.35">
      <c r="A46" t="s">
        <v>8</v>
      </c>
      <c r="B46">
        <v>1980</v>
      </c>
      <c r="C46">
        <v>1870</v>
      </c>
      <c r="D46">
        <f t="shared" si="5"/>
        <v>2143</v>
      </c>
      <c r="E46" s="6">
        <f>D45*1/31+((D45+C46+D46)/2)*30/31</f>
        <v>3104.6129032258063</v>
      </c>
      <c r="F46" s="32">
        <v>31</v>
      </c>
      <c r="G46" s="24">
        <f t="shared" si="7"/>
        <v>1957.5108484909097</v>
      </c>
      <c r="H46">
        <f t="shared" si="4"/>
        <v>96243</v>
      </c>
    </row>
    <row r="47" spans="1:12" x14ac:dyDescent="0.35">
      <c r="A47" t="s">
        <v>9</v>
      </c>
      <c r="B47">
        <v>2035</v>
      </c>
      <c r="C47">
        <v>1980</v>
      </c>
      <c r="D47">
        <f t="shared" si="5"/>
        <v>2088</v>
      </c>
      <c r="E47" s="6">
        <f t="shared" si="8"/>
        <v>3105.5</v>
      </c>
      <c r="F47" s="32">
        <v>30</v>
      </c>
      <c r="G47" s="24">
        <f t="shared" si="7"/>
        <v>2012.5108484909097</v>
      </c>
      <c r="H47">
        <f t="shared" si="4"/>
        <v>93165</v>
      </c>
    </row>
    <row r="48" spans="1:12" x14ac:dyDescent="0.35">
      <c r="A48" t="s">
        <v>10</v>
      </c>
      <c r="B48">
        <v>1045</v>
      </c>
      <c r="C48">
        <v>2035</v>
      </c>
      <c r="D48">
        <f t="shared" si="5"/>
        <v>3078</v>
      </c>
      <c r="E48" s="6">
        <f t="shared" si="8"/>
        <v>3600.5</v>
      </c>
      <c r="F48" s="33">
        <v>31</v>
      </c>
      <c r="G48" s="24">
        <f t="shared" si="7"/>
        <v>1022.5108484909097</v>
      </c>
      <c r="H48">
        <f t="shared" si="4"/>
        <v>111615.5</v>
      </c>
    </row>
    <row r="49" spans="1:12" x14ac:dyDescent="0.35">
      <c r="A49" t="s">
        <v>11</v>
      </c>
      <c r="B49">
        <v>550</v>
      </c>
      <c r="C49" s="34">
        <v>1045</v>
      </c>
      <c r="D49">
        <f t="shared" si="5"/>
        <v>3573</v>
      </c>
      <c r="E49" s="6">
        <f t="shared" si="8"/>
        <v>3848</v>
      </c>
      <c r="F49" s="32">
        <v>30</v>
      </c>
      <c r="G49" s="24">
        <f>4100.51084849091-D49</f>
        <v>527.51084849090967</v>
      </c>
      <c r="H49">
        <f t="shared" si="4"/>
        <v>115440</v>
      </c>
    </row>
    <row r="50" spans="1:12" x14ac:dyDescent="0.35">
      <c r="A50" t="s">
        <v>12</v>
      </c>
      <c r="B50">
        <v>1375</v>
      </c>
      <c r="C50" s="34">
        <v>550</v>
      </c>
      <c r="D50">
        <f t="shared" si="5"/>
        <v>2748</v>
      </c>
      <c r="E50" s="6">
        <f>(D49+C50+D50)/2</f>
        <v>3435.5</v>
      </c>
      <c r="F50" s="32">
        <v>31</v>
      </c>
      <c r="G50" s="24"/>
      <c r="H50">
        <f t="shared" si="4"/>
        <v>106500.5</v>
      </c>
      <c r="J50" s="23" t="s">
        <v>136</v>
      </c>
      <c r="K50" s="23" t="s">
        <v>137</v>
      </c>
      <c r="L50" s="23" t="s">
        <v>138</v>
      </c>
    </row>
    <row r="51" spans="1:12" x14ac:dyDescent="0.35">
      <c r="A51" s="69" t="s">
        <v>135</v>
      </c>
      <c r="B51" s="69"/>
      <c r="C51" s="69"/>
      <c r="D51" s="69"/>
      <c r="E51" s="69"/>
      <c r="F51" s="69"/>
      <c r="G51" s="69"/>
      <c r="H51" s="29">
        <f>SUM(H39:H50)/365</f>
        <v>3773.1095890410961</v>
      </c>
      <c r="J51" s="6">
        <f>H51*12.75*0.8498</f>
        <v>40881.453741780824</v>
      </c>
      <c r="K51">
        <f>337*3+500</f>
        <v>1511</v>
      </c>
      <c r="L51" s="30">
        <f>J51+K51</f>
        <v>42392.453741780824</v>
      </c>
    </row>
    <row r="53" spans="1:12" x14ac:dyDescent="0.35">
      <c r="A53" t="s">
        <v>14</v>
      </c>
      <c r="B53" t="s">
        <v>141</v>
      </c>
      <c r="C53" t="s">
        <v>50</v>
      </c>
      <c r="D53" t="s">
        <v>143</v>
      </c>
      <c r="E53" t="s">
        <v>109</v>
      </c>
      <c r="F53" s="32" t="s">
        <v>110</v>
      </c>
      <c r="G53" s="24" t="s">
        <v>140</v>
      </c>
      <c r="H53" t="s">
        <v>111</v>
      </c>
    </row>
    <row r="54" spans="1:12" x14ac:dyDescent="0.35">
      <c r="A54" t="s">
        <v>1</v>
      </c>
      <c r="B54">
        <v>0</v>
      </c>
      <c r="C54">
        <v>0</v>
      </c>
      <c r="D54">
        <v>5168</v>
      </c>
      <c r="E54">
        <v>5168</v>
      </c>
      <c r="F54" s="32">
        <v>31</v>
      </c>
      <c r="G54" s="24">
        <f>4100.51084849091-D54</f>
        <v>-1067.4891515090903</v>
      </c>
      <c r="H54">
        <f>E54*F54</f>
        <v>160208</v>
      </c>
    </row>
    <row r="55" spans="1:12" x14ac:dyDescent="0.35">
      <c r="A55" t="s">
        <v>2</v>
      </c>
      <c r="B55">
        <v>0</v>
      </c>
      <c r="C55">
        <v>0</v>
      </c>
      <c r="D55">
        <v>5168</v>
      </c>
      <c r="E55">
        <v>5168</v>
      </c>
      <c r="F55" s="32">
        <v>28</v>
      </c>
      <c r="G55" s="24">
        <f>4100.51084849091-D55</f>
        <v>-1067.4891515090903</v>
      </c>
      <c r="H55">
        <f t="shared" ref="H55:H65" si="9">E55*F55</f>
        <v>144704</v>
      </c>
    </row>
    <row r="56" spans="1:12" x14ac:dyDescent="0.35">
      <c r="A56" t="s">
        <v>3</v>
      </c>
      <c r="B56">
        <v>825</v>
      </c>
      <c r="C56">
        <v>0</v>
      </c>
      <c r="D56">
        <f>D55+C56-B56</f>
        <v>4343</v>
      </c>
      <c r="E56" s="6">
        <f>(D55+D56)/2</f>
        <v>4755.5</v>
      </c>
      <c r="F56" s="32">
        <v>31</v>
      </c>
      <c r="G56" s="24">
        <f>4100.51084849091-D56</f>
        <v>-242.48915150909033</v>
      </c>
      <c r="H56">
        <f t="shared" si="9"/>
        <v>147420.5</v>
      </c>
    </row>
    <row r="57" spans="1:12" x14ac:dyDescent="0.35">
      <c r="A57" t="s">
        <v>4</v>
      </c>
      <c r="B57">
        <v>2915</v>
      </c>
      <c r="C57">
        <v>0</v>
      </c>
      <c r="D57">
        <f t="shared" ref="D57" si="10">D56+C57-B57</f>
        <v>1428</v>
      </c>
      <c r="E57" s="6">
        <f>(D56+D57)/2</f>
        <v>2885.5</v>
      </c>
      <c r="F57" s="32">
        <v>30</v>
      </c>
      <c r="G57" s="24">
        <f t="shared" ref="G57:G63" si="11">4100.51084849091-D57</f>
        <v>2672.5108484909097</v>
      </c>
      <c r="H57">
        <f t="shared" si="9"/>
        <v>86565</v>
      </c>
    </row>
    <row r="58" spans="1:12" x14ac:dyDescent="0.35">
      <c r="A58" t="s">
        <v>5</v>
      </c>
      <c r="B58">
        <v>165</v>
      </c>
      <c r="C58">
        <v>2695</v>
      </c>
      <c r="D58">
        <f>D57+C58-B58</f>
        <v>3958</v>
      </c>
      <c r="E58" s="6">
        <f>D57*2/31+((D57+C58+D58)/2)*29/31</f>
        <v>3871.9516129032259</v>
      </c>
      <c r="F58" s="32">
        <v>31</v>
      </c>
      <c r="G58" s="24">
        <f t="shared" si="11"/>
        <v>142.51084849090967</v>
      </c>
      <c r="H58">
        <f t="shared" si="9"/>
        <v>120030.5</v>
      </c>
    </row>
    <row r="59" spans="1:12" x14ac:dyDescent="0.35">
      <c r="A59" t="s">
        <v>6</v>
      </c>
      <c r="B59">
        <v>1815</v>
      </c>
      <c r="C59">
        <v>1595</v>
      </c>
      <c r="D59">
        <f>D58+C59-B59</f>
        <v>3738</v>
      </c>
      <c r="E59" s="6">
        <f>(D58+C59+D59)/2</f>
        <v>4645.5</v>
      </c>
      <c r="F59" s="32">
        <v>30</v>
      </c>
      <c r="G59" s="24">
        <f t="shared" si="11"/>
        <v>362.51084849090967</v>
      </c>
      <c r="H59">
        <f t="shared" si="9"/>
        <v>139365</v>
      </c>
    </row>
    <row r="60" spans="1:12" x14ac:dyDescent="0.35">
      <c r="A60" t="s">
        <v>7</v>
      </c>
      <c r="B60">
        <v>1870</v>
      </c>
      <c r="C60">
        <v>1595</v>
      </c>
      <c r="D60">
        <f t="shared" ref="D60:D65" si="12">D59+C60-B60</f>
        <v>3463</v>
      </c>
      <c r="E60" s="6">
        <f t="shared" ref="E60:E64" si="13">(D59+C60+D60)/2</f>
        <v>4398</v>
      </c>
      <c r="F60" s="32">
        <v>31</v>
      </c>
      <c r="G60" s="24">
        <f t="shared" si="11"/>
        <v>637.51084849090967</v>
      </c>
      <c r="H60">
        <f t="shared" si="9"/>
        <v>136338</v>
      </c>
    </row>
    <row r="61" spans="1:12" x14ac:dyDescent="0.35">
      <c r="A61" t="s">
        <v>8</v>
      </c>
      <c r="B61">
        <v>1980</v>
      </c>
      <c r="C61">
        <v>1595</v>
      </c>
      <c r="D61">
        <f t="shared" si="12"/>
        <v>3078</v>
      </c>
      <c r="E61" s="6">
        <f>D60*1/31+((D60+C61+D61)/2)*30/31</f>
        <v>4048.483870967742</v>
      </c>
      <c r="F61" s="32">
        <v>31</v>
      </c>
      <c r="G61" s="24">
        <f t="shared" si="11"/>
        <v>1022.5108484909097</v>
      </c>
      <c r="H61">
        <f t="shared" si="9"/>
        <v>125503</v>
      </c>
    </row>
    <row r="62" spans="1:12" x14ac:dyDescent="0.35">
      <c r="A62" t="s">
        <v>9</v>
      </c>
      <c r="B62">
        <v>2035</v>
      </c>
      <c r="C62">
        <v>1595</v>
      </c>
      <c r="D62">
        <f t="shared" si="12"/>
        <v>2638</v>
      </c>
      <c r="E62" s="6">
        <f t="shared" si="13"/>
        <v>3655.5</v>
      </c>
      <c r="F62" s="32">
        <v>30</v>
      </c>
      <c r="G62" s="24">
        <f t="shared" si="11"/>
        <v>1462.5108484909097</v>
      </c>
      <c r="H62">
        <f t="shared" si="9"/>
        <v>109665</v>
      </c>
    </row>
    <row r="63" spans="1:12" x14ac:dyDescent="0.35">
      <c r="A63" t="s">
        <v>10</v>
      </c>
      <c r="B63">
        <v>1045</v>
      </c>
      <c r="C63">
        <v>1595</v>
      </c>
      <c r="D63">
        <f t="shared" si="12"/>
        <v>3188</v>
      </c>
      <c r="E63" s="6">
        <f>(D62+C63+D63)/2</f>
        <v>3710.5</v>
      </c>
      <c r="F63" s="33">
        <v>31</v>
      </c>
      <c r="G63" s="24">
        <f t="shared" si="11"/>
        <v>912.51084849090967</v>
      </c>
      <c r="H63">
        <f t="shared" si="9"/>
        <v>115025.5</v>
      </c>
    </row>
    <row r="64" spans="1:12" x14ac:dyDescent="0.35">
      <c r="A64" t="s">
        <v>11</v>
      </c>
      <c r="B64">
        <v>550</v>
      </c>
      <c r="C64">
        <v>1595</v>
      </c>
      <c r="D64">
        <f t="shared" si="12"/>
        <v>4233</v>
      </c>
      <c r="E64" s="6">
        <f t="shared" si="13"/>
        <v>4508</v>
      </c>
      <c r="F64" s="32">
        <v>30</v>
      </c>
      <c r="G64" s="24">
        <f>4100.51084849091-D64</f>
        <v>-132.48915150909033</v>
      </c>
      <c r="H64">
        <f t="shared" si="9"/>
        <v>135240</v>
      </c>
    </row>
    <row r="65" spans="1:12" x14ac:dyDescent="0.35">
      <c r="A65" t="s">
        <v>12</v>
      </c>
      <c r="B65">
        <v>1375</v>
      </c>
      <c r="C65">
        <v>0</v>
      </c>
      <c r="D65">
        <f t="shared" si="12"/>
        <v>2858</v>
      </c>
      <c r="E65" s="6">
        <f>(D64+C65+D65)/2</f>
        <v>3545.5</v>
      </c>
      <c r="F65" s="32">
        <v>31</v>
      </c>
      <c r="G65" s="24"/>
      <c r="H65">
        <f t="shared" si="9"/>
        <v>109910.5</v>
      </c>
      <c r="J65" s="23" t="s">
        <v>136</v>
      </c>
      <c r="K65" s="23" t="s">
        <v>137</v>
      </c>
      <c r="L65" s="23" t="s">
        <v>138</v>
      </c>
    </row>
    <row r="66" spans="1:12" x14ac:dyDescent="0.35">
      <c r="A66" s="69" t="s">
        <v>135</v>
      </c>
      <c r="B66" s="69"/>
      <c r="C66" s="69"/>
      <c r="D66" s="69"/>
      <c r="E66" s="69"/>
      <c r="F66" s="69"/>
      <c r="G66" s="69"/>
      <c r="H66" s="29">
        <f>SUM(H54:H65)/365</f>
        <v>4191.7123287671229</v>
      </c>
      <c r="J66" s="6">
        <f>H66*12.75*0.8498</f>
        <v>45416.993496575342</v>
      </c>
      <c r="K66">
        <v>700</v>
      </c>
      <c r="L66" s="30">
        <f>J66+K66</f>
        <v>46116.993496575342</v>
      </c>
    </row>
    <row r="68" spans="1:12" x14ac:dyDescent="0.35">
      <c r="A68" s="68" t="s">
        <v>144</v>
      </c>
      <c r="B68" s="68"/>
      <c r="C68" s="68"/>
      <c r="D68" s="68"/>
      <c r="E68" s="68"/>
      <c r="F68" s="68"/>
      <c r="G68" s="68"/>
      <c r="H68" s="68"/>
    </row>
    <row r="69" spans="1:12" x14ac:dyDescent="0.35">
      <c r="A69" t="s">
        <v>14</v>
      </c>
      <c r="B69" t="s">
        <v>141</v>
      </c>
      <c r="C69" t="s">
        <v>50</v>
      </c>
      <c r="D69" t="s">
        <v>143</v>
      </c>
      <c r="E69" t="s">
        <v>109</v>
      </c>
      <c r="F69" s="32" t="s">
        <v>110</v>
      </c>
      <c r="G69" s="24" t="s">
        <v>140</v>
      </c>
      <c r="H69" t="s">
        <v>111</v>
      </c>
    </row>
    <row r="70" spans="1:12" x14ac:dyDescent="0.35">
      <c r="A70" t="s">
        <v>1</v>
      </c>
      <c r="B70">
        <v>0</v>
      </c>
      <c r="C70">
        <v>0</v>
      </c>
      <c r="D70">
        <v>5168</v>
      </c>
      <c r="E70">
        <v>5168</v>
      </c>
      <c r="F70" s="32">
        <v>31</v>
      </c>
      <c r="G70" s="24">
        <f>3455.99165005999-D70</f>
        <v>-1712.0083499400098</v>
      </c>
      <c r="H70">
        <f>E70*F70</f>
        <v>160208</v>
      </c>
    </row>
    <row r="71" spans="1:12" x14ac:dyDescent="0.35">
      <c r="A71" t="s">
        <v>2</v>
      </c>
      <c r="B71">
        <v>0</v>
      </c>
      <c r="C71">
        <v>0</v>
      </c>
      <c r="D71">
        <v>5168</v>
      </c>
      <c r="E71">
        <v>5168</v>
      </c>
      <c r="F71" s="32">
        <v>28</v>
      </c>
      <c r="G71" s="24">
        <f t="shared" ref="G71:G80" si="14">3455.99165005999-D71</f>
        <v>-1712.0083499400098</v>
      </c>
      <c r="H71">
        <f t="shared" ref="H71:H81" si="15">E71*F71</f>
        <v>144704</v>
      </c>
    </row>
    <row r="72" spans="1:12" x14ac:dyDescent="0.35">
      <c r="A72" t="s">
        <v>3</v>
      </c>
      <c r="B72">
        <v>825</v>
      </c>
      <c r="C72">
        <v>0</v>
      </c>
      <c r="D72">
        <f>D71+C72-B72</f>
        <v>4343</v>
      </c>
      <c r="E72" s="6">
        <f>(D71+D72)/2</f>
        <v>4755.5</v>
      </c>
      <c r="F72" s="32">
        <v>31</v>
      </c>
      <c r="G72" s="24">
        <f t="shared" si="14"/>
        <v>-887.00834994000979</v>
      </c>
      <c r="H72">
        <f t="shared" si="15"/>
        <v>147420.5</v>
      </c>
    </row>
    <row r="73" spans="1:12" x14ac:dyDescent="0.35">
      <c r="A73" t="s">
        <v>4</v>
      </c>
      <c r="B73">
        <v>2915</v>
      </c>
      <c r="C73">
        <v>0</v>
      </c>
      <c r="D73">
        <f t="shared" ref="D73" si="16">D72+C73-B73</f>
        <v>1428</v>
      </c>
      <c r="E73" s="6">
        <f t="shared" ref="E73" si="17">(D72+D73)/2</f>
        <v>2885.5</v>
      </c>
      <c r="F73" s="32">
        <v>30</v>
      </c>
      <c r="G73" s="24">
        <f t="shared" si="14"/>
        <v>2027.9916500599902</v>
      </c>
      <c r="H73">
        <f t="shared" si="15"/>
        <v>86565</v>
      </c>
    </row>
    <row r="74" spans="1:12" x14ac:dyDescent="0.35">
      <c r="A74" t="s">
        <v>5</v>
      </c>
      <c r="B74">
        <v>165</v>
      </c>
      <c r="C74">
        <v>2035</v>
      </c>
      <c r="D74">
        <f>D73+C74-B74</f>
        <v>3298</v>
      </c>
      <c r="E74" s="6">
        <f>D73*2/31+((D73+C74+D74)/2)*29/31</f>
        <v>3254.5322580645161</v>
      </c>
      <c r="F74" s="32">
        <v>31</v>
      </c>
      <c r="G74" s="24">
        <f t="shared" si="14"/>
        <v>157.99165005999021</v>
      </c>
      <c r="H74">
        <f t="shared" si="15"/>
        <v>100890.5</v>
      </c>
    </row>
    <row r="75" spans="1:12" x14ac:dyDescent="0.35">
      <c r="A75" t="s">
        <v>6</v>
      </c>
      <c r="B75">
        <v>1815</v>
      </c>
      <c r="C75" s="34">
        <v>165</v>
      </c>
      <c r="D75">
        <f t="shared" ref="D75:D81" si="18">D74+C75-B75</f>
        <v>1648</v>
      </c>
      <c r="E75" s="6">
        <f>(D74+C75+D75)/2</f>
        <v>2555.5</v>
      </c>
      <c r="F75" s="32">
        <v>30</v>
      </c>
      <c r="G75" s="24">
        <f t="shared" si="14"/>
        <v>1807.9916500599902</v>
      </c>
      <c r="H75">
        <f t="shared" si="15"/>
        <v>76665</v>
      </c>
    </row>
    <row r="76" spans="1:12" x14ac:dyDescent="0.35">
      <c r="A76" t="s">
        <v>7</v>
      </c>
      <c r="B76">
        <v>1870</v>
      </c>
      <c r="C76">
        <v>1815</v>
      </c>
      <c r="D76">
        <f t="shared" si="18"/>
        <v>1593</v>
      </c>
      <c r="E76" s="6">
        <f t="shared" ref="E76:E80" si="19">(D75+C76+D76)/2</f>
        <v>2528</v>
      </c>
      <c r="F76" s="32">
        <v>31</v>
      </c>
      <c r="G76" s="24">
        <f t="shared" si="14"/>
        <v>1862.9916500599902</v>
      </c>
      <c r="H76">
        <f t="shared" si="15"/>
        <v>78368</v>
      </c>
    </row>
    <row r="77" spans="1:12" x14ac:dyDescent="0.35">
      <c r="A77" t="s">
        <v>8</v>
      </c>
      <c r="B77">
        <v>1980</v>
      </c>
      <c r="C77">
        <v>1870</v>
      </c>
      <c r="D77">
        <f t="shared" si="18"/>
        <v>1483</v>
      </c>
      <c r="E77" s="6">
        <f>D76*1/31+((D76+C77+D77)/2)*30/31</f>
        <v>2444.6129032258063</v>
      </c>
      <c r="F77" s="32">
        <v>31</v>
      </c>
      <c r="G77" s="24">
        <f t="shared" si="14"/>
        <v>1972.9916500599902</v>
      </c>
      <c r="H77">
        <f t="shared" si="15"/>
        <v>75783</v>
      </c>
    </row>
    <row r="78" spans="1:12" x14ac:dyDescent="0.35">
      <c r="A78" t="s">
        <v>9</v>
      </c>
      <c r="B78">
        <v>2035</v>
      </c>
      <c r="C78">
        <v>1980</v>
      </c>
      <c r="D78">
        <f t="shared" si="18"/>
        <v>1428</v>
      </c>
      <c r="E78" s="6">
        <f t="shared" si="19"/>
        <v>2445.5</v>
      </c>
      <c r="F78" s="32">
        <v>30</v>
      </c>
      <c r="G78" s="24">
        <f t="shared" si="14"/>
        <v>2027.9916500599902</v>
      </c>
      <c r="H78">
        <f t="shared" si="15"/>
        <v>73365</v>
      </c>
    </row>
    <row r="79" spans="1:12" x14ac:dyDescent="0.35">
      <c r="A79" t="s">
        <v>10</v>
      </c>
      <c r="B79">
        <v>1045</v>
      </c>
      <c r="C79">
        <v>2035</v>
      </c>
      <c r="D79">
        <f t="shared" si="18"/>
        <v>2418</v>
      </c>
      <c r="E79" s="6">
        <f t="shared" si="19"/>
        <v>2940.5</v>
      </c>
      <c r="F79" s="33">
        <v>31</v>
      </c>
      <c r="G79" s="24">
        <f t="shared" si="14"/>
        <v>1037.9916500599902</v>
      </c>
      <c r="H79">
        <f t="shared" si="15"/>
        <v>91155.5</v>
      </c>
    </row>
    <row r="80" spans="1:12" x14ac:dyDescent="0.35">
      <c r="A80" t="s">
        <v>11</v>
      </c>
      <c r="B80">
        <v>550</v>
      </c>
      <c r="C80" s="34">
        <v>1045</v>
      </c>
      <c r="D80">
        <f t="shared" si="18"/>
        <v>2913</v>
      </c>
      <c r="E80" s="6">
        <f t="shared" si="19"/>
        <v>3188</v>
      </c>
      <c r="F80" s="32">
        <v>30</v>
      </c>
      <c r="G80" s="24">
        <f t="shared" si="14"/>
        <v>542.99165005999021</v>
      </c>
      <c r="H80">
        <f t="shared" si="15"/>
        <v>95640</v>
      </c>
    </row>
    <row r="81" spans="1:12" x14ac:dyDescent="0.35">
      <c r="A81" t="s">
        <v>12</v>
      </c>
      <c r="B81">
        <v>1375</v>
      </c>
      <c r="C81" s="34">
        <v>550</v>
      </c>
      <c r="D81">
        <f t="shared" si="18"/>
        <v>2088</v>
      </c>
      <c r="E81" s="6">
        <f>(D80+C81+D81)/2</f>
        <v>2775.5</v>
      </c>
      <c r="F81" s="32">
        <v>31</v>
      </c>
      <c r="G81" s="24"/>
      <c r="H81">
        <f t="shared" si="15"/>
        <v>86040.5</v>
      </c>
      <c r="J81" s="23" t="s">
        <v>136</v>
      </c>
      <c r="K81" s="23" t="s">
        <v>137</v>
      </c>
      <c r="L81" s="23" t="s">
        <v>138</v>
      </c>
    </row>
    <row r="82" spans="1:12" x14ac:dyDescent="0.35">
      <c r="A82" s="69" t="s">
        <v>135</v>
      </c>
      <c r="B82" s="69"/>
      <c r="C82" s="69"/>
      <c r="D82" s="69"/>
      <c r="E82" s="69"/>
      <c r="F82" s="69"/>
      <c r="G82" s="69"/>
      <c r="H82" s="29">
        <f>SUM(H70:H81)/365</f>
        <v>3333.7123287671234</v>
      </c>
      <c r="J82" s="6">
        <f>H82*12.75*0.8498</f>
        <v>36120.606396575342</v>
      </c>
      <c r="K82">
        <f>337*3+500</f>
        <v>1511</v>
      </c>
      <c r="L82" s="30">
        <f>J82+K82</f>
        <v>37631.606396575342</v>
      </c>
    </row>
    <row r="84" spans="1:12" x14ac:dyDescent="0.35">
      <c r="A84" t="s">
        <v>14</v>
      </c>
      <c r="B84" t="s">
        <v>141</v>
      </c>
      <c r="C84" t="s">
        <v>50</v>
      </c>
      <c r="D84" t="s">
        <v>143</v>
      </c>
      <c r="E84" t="s">
        <v>109</v>
      </c>
      <c r="F84" s="32" t="s">
        <v>110</v>
      </c>
      <c r="G84" s="24" t="s">
        <v>140</v>
      </c>
      <c r="H84" t="s">
        <v>111</v>
      </c>
    </row>
    <row r="85" spans="1:12" x14ac:dyDescent="0.35">
      <c r="A85" t="s">
        <v>1</v>
      </c>
      <c r="B85">
        <v>0</v>
      </c>
      <c r="C85">
        <v>0</v>
      </c>
      <c r="D85">
        <v>5168</v>
      </c>
      <c r="E85">
        <v>5168</v>
      </c>
      <c r="F85" s="32">
        <v>31</v>
      </c>
      <c r="G85" s="24">
        <f>3455.99165005999-D85</f>
        <v>-1712.0083499400098</v>
      </c>
      <c r="H85">
        <f>E85*F85</f>
        <v>160208</v>
      </c>
    </row>
    <row r="86" spans="1:12" x14ac:dyDescent="0.35">
      <c r="A86" t="s">
        <v>2</v>
      </c>
      <c r="B86">
        <v>0</v>
      </c>
      <c r="C86">
        <v>0</v>
      </c>
      <c r="D86">
        <v>5168</v>
      </c>
      <c r="E86">
        <v>5168</v>
      </c>
      <c r="F86" s="32">
        <v>28</v>
      </c>
      <c r="G86" s="24">
        <f t="shared" ref="G86:G95" si="20">3455.99165005999-D86</f>
        <v>-1712.0083499400098</v>
      </c>
      <c r="H86">
        <f t="shared" ref="H86:H96" si="21">E86*F86</f>
        <v>144704</v>
      </c>
    </row>
    <row r="87" spans="1:12" x14ac:dyDescent="0.35">
      <c r="A87" t="s">
        <v>3</v>
      </c>
      <c r="B87">
        <v>825</v>
      </c>
      <c r="C87">
        <v>0</v>
      </c>
      <c r="D87">
        <f>D86+C87-B87</f>
        <v>4343</v>
      </c>
      <c r="E87" s="6">
        <f>(D86+D87)/2</f>
        <v>4755.5</v>
      </c>
      <c r="F87" s="32">
        <v>31</v>
      </c>
      <c r="G87" s="24">
        <f t="shared" si="20"/>
        <v>-887.00834994000979</v>
      </c>
      <c r="H87">
        <f t="shared" si="21"/>
        <v>147420.5</v>
      </c>
    </row>
    <row r="88" spans="1:12" x14ac:dyDescent="0.35">
      <c r="A88" t="s">
        <v>4</v>
      </c>
      <c r="B88">
        <v>2915</v>
      </c>
      <c r="C88">
        <v>0</v>
      </c>
      <c r="D88">
        <f t="shared" ref="D88" si="22">D87+C88-B88</f>
        <v>1428</v>
      </c>
      <c r="E88" s="6">
        <f t="shared" ref="E88" si="23">(D87+D88)/2</f>
        <v>2885.5</v>
      </c>
      <c r="F88" s="32">
        <v>30</v>
      </c>
      <c r="G88" s="24">
        <f t="shared" si="20"/>
        <v>2027.9916500599902</v>
      </c>
      <c r="H88">
        <f t="shared" si="21"/>
        <v>86565</v>
      </c>
    </row>
    <row r="89" spans="1:12" x14ac:dyDescent="0.35">
      <c r="A89" t="s">
        <v>5</v>
      </c>
      <c r="B89">
        <v>165</v>
      </c>
      <c r="C89">
        <v>2035</v>
      </c>
      <c r="D89">
        <f>D88+C89-B89</f>
        <v>3298</v>
      </c>
      <c r="E89" s="6">
        <f>D88*2/31+((D88+C89+D89)/2)*29/31</f>
        <v>3254.5322580645161</v>
      </c>
      <c r="F89" s="32">
        <v>31</v>
      </c>
      <c r="G89" s="24">
        <f t="shared" si="20"/>
        <v>157.99165005999021</v>
      </c>
      <c r="H89">
        <f t="shared" si="21"/>
        <v>100890.5</v>
      </c>
    </row>
    <row r="90" spans="1:12" x14ac:dyDescent="0.35">
      <c r="A90" t="s">
        <v>6</v>
      </c>
      <c r="B90">
        <v>1815</v>
      </c>
      <c r="C90">
        <v>1595</v>
      </c>
      <c r="D90">
        <f t="shared" ref="D90:D96" si="24">D89+C90-B90</f>
        <v>3078</v>
      </c>
      <c r="E90" s="6">
        <f>(D89+C90+D90)/2</f>
        <v>3985.5</v>
      </c>
      <c r="F90" s="32">
        <v>30</v>
      </c>
      <c r="G90" s="24">
        <f t="shared" si="20"/>
        <v>377.99165005999021</v>
      </c>
      <c r="H90">
        <f t="shared" si="21"/>
        <v>119565</v>
      </c>
    </row>
    <row r="91" spans="1:12" x14ac:dyDescent="0.35">
      <c r="A91" t="s">
        <v>7</v>
      </c>
      <c r="B91">
        <v>1870</v>
      </c>
      <c r="C91">
        <v>1595</v>
      </c>
      <c r="D91">
        <f t="shared" si="24"/>
        <v>2803</v>
      </c>
      <c r="E91" s="6">
        <f>(D90+C91+D91)/2</f>
        <v>3738</v>
      </c>
      <c r="F91" s="32">
        <v>31</v>
      </c>
      <c r="G91" s="24">
        <f t="shared" si="20"/>
        <v>652.99165005999021</v>
      </c>
      <c r="H91">
        <f t="shared" si="21"/>
        <v>115878</v>
      </c>
    </row>
    <row r="92" spans="1:12" x14ac:dyDescent="0.35">
      <c r="A92" t="s">
        <v>8</v>
      </c>
      <c r="B92">
        <v>1980</v>
      </c>
      <c r="C92">
        <v>1595</v>
      </c>
      <c r="D92">
        <f t="shared" si="24"/>
        <v>2418</v>
      </c>
      <c r="E92" s="6">
        <f>D91*1/31+((D91+C92+D92)/2)*30/31</f>
        <v>3388.483870967742</v>
      </c>
      <c r="F92" s="32">
        <v>31</v>
      </c>
      <c r="G92" s="24">
        <f t="shared" si="20"/>
        <v>1037.9916500599902</v>
      </c>
      <c r="H92">
        <f t="shared" si="21"/>
        <v>105043</v>
      </c>
    </row>
    <row r="93" spans="1:12" x14ac:dyDescent="0.35">
      <c r="A93" t="s">
        <v>9</v>
      </c>
      <c r="B93">
        <v>2035</v>
      </c>
      <c r="C93">
        <v>1595</v>
      </c>
      <c r="D93">
        <f t="shared" si="24"/>
        <v>1978</v>
      </c>
      <c r="E93" s="6">
        <f t="shared" ref="E93" si="25">(D92+C93+D93)/2</f>
        <v>2995.5</v>
      </c>
      <c r="F93" s="32">
        <v>30</v>
      </c>
      <c r="G93" s="24">
        <f t="shared" si="20"/>
        <v>1477.9916500599902</v>
      </c>
      <c r="H93">
        <f t="shared" si="21"/>
        <v>89865</v>
      </c>
    </row>
    <row r="94" spans="1:12" x14ac:dyDescent="0.35">
      <c r="A94" t="s">
        <v>10</v>
      </c>
      <c r="B94">
        <v>1045</v>
      </c>
      <c r="C94">
        <v>1595</v>
      </c>
      <c r="D94">
        <f t="shared" si="24"/>
        <v>2528</v>
      </c>
      <c r="E94" s="6">
        <f>(D93+C94+D94)/2</f>
        <v>3050.5</v>
      </c>
      <c r="F94" s="33">
        <v>31</v>
      </c>
      <c r="G94" s="24">
        <f t="shared" si="20"/>
        <v>927.99165005999021</v>
      </c>
      <c r="H94">
        <f t="shared" si="21"/>
        <v>94565.5</v>
      </c>
    </row>
    <row r="95" spans="1:12" x14ac:dyDescent="0.35">
      <c r="A95" t="s">
        <v>11</v>
      </c>
      <c r="B95">
        <v>550</v>
      </c>
      <c r="C95">
        <v>1595</v>
      </c>
      <c r="D95">
        <f t="shared" si="24"/>
        <v>3573</v>
      </c>
      <c r="E95" s="6">
        <f t="shared" ref="E95" si="26">(D94+C95+D95)/2</f>
        <v>3848</v>
      </c>
      <c r="F95" s="32">
        <v>30</v>
      </c>
      <c r="G95" s="24">
        <f t="shared" si="20"/>
        <v>-117.00834994000979</v>
      </c>
      <c r="H95">
        <f t="shared" si="21"/>
        <v>115440</v>
      </c>
    </row>
    <row r="96" spans="1:12" x14ac:dyDescent="0.35">
      <c r="A96" t="s">
        <v>12</v>
      </c>
      <c r="B96">
        <v>1375</v>
      </c>
      <c r="C96">
        <v>0</v>
      </c>
      <c r="D96">
        <f t="shared" si="24"/>
        <v>2198</v>
      </c>
      <c r="E96" s="6">
        <f>(D95+C96+D96)/2</f>
        <v>2885.5</v>
      </c>
      <c r="F96" s="32">
        <v>31</v>
      </c>
      <c r="G96" s="24"/>
      <c r="H96">
        <f t="shared" si="21"/>
        <v>89450.5</v>
      </c>
      <c r="J96" s="23" t="s">
        <v>136</v>
      </c>
      <c r="K96" s="23" t="s">
        <v>137</v>
      </c>
      <c r="L96" s="23" t="s">
        <v>138</v>
      </c>
    </row>
    <row r="97" spans="1:12" x14ac:dyDescent="0.35">
      <c r="A97" s="69" t="s">
        <v>135</v>
      </c>
      <c r="B97" s="69"/>
      <c r="C97" s="69"/>
      <c r="D97" s="69"/>
      <c r="E97" s="69"/>
      <c r="F97" s="69"/>
      <c r="G97" s="69"/>
      <c r="H97" s="29">
        <f>SUM(H85:H96)/365</f>
        <v>3752.3150684931506</v>
      </c>
      <c r="J97" s="6">
        <f>H97*12.75*0.8498</f>
        <v>40656.14615136986</v>
      </c>
      <c r="K97">
        <v>700</v>
      </c>
      <c r="L97" s="30">
        <f>J97+K97</f>
        <v>41356.14615136986</v>
      </c>
    </row>
    <row r="99" spans="1:12" x14ac:dyDescent="0.35">
      <c r="A99" s="68" t="s">
        <v>145</v>
      </c>
      <c r="B99" s="68"/>
      <c r="C99" s="68"/>
      <c r="D99" s="68"/>
      <c r="E99" s="68"/>
      <c r="F99" s="68"/>
      <c r="G99" s="68"/>
      <c r="H99" s="68"/>
    </row>
    <row r="100" spans="1:12" x14ac:dyDescent="0.35">
      <c r="A100" t="s">
        <v>14</v>
      </c>
      <c r="B100" t="s">
        <v>141</v>
      </c>
      <c r="C100" t="s">
        <v>50</v>
      </c>
      <c r="D100" t="s">
        <v>143</v>
      </c>
      <c r="E100" t="s">
        <v>109</v>
      </c>
      <c r="F100" s="32" t="s">
        <v>110</v>
      </c>
      <c r="G100" s="24" t="s">
        <v>140</v>
      </c>
      <c r="H100" t="s">
        <v>111</v>
      </c>
    </row>
    <row r="101" spans="1:12" x14ac:dyDescent="0.35">
      <c r="A101" t="s">
        <v>1</v>
      </c>
      <c r="B101">
        <v>0</v>
      </c>
      <c r="C101">
        <v>0</v>
      </c>
      <c r="D101">
        <v>5168</v>
      </c>
      <c r="E101">
        <v>5168</v>
      </c>
      <c r="F101" s="32">
        <v>31</v>
      </c>
      <c r="G101" s="24">
        <f>3112.40085027508-D101</f>
        <v>-2055.5991497249202</v>
      </c>
      <c r="H101">
        <f>E101*F101</f>
        <v>160208</v>
      </c>
    </row>
    <row r="102" spans="1:12" x14ac:dyDescent="0.35">
      <c r="A102" t="s">
        <v>2</v>
      </c>
      <c r="B102">
        <v>0</v>
      </c>
      <c r="C102">
        <v>0</v>
      </c>
      <c r="D102">
        <v>5168</v>
      </c>
      <c r="E102">
        <v>5168</v>
      </c>
      <c r="F102" s="32">
        <v>28</v>
      </c>
      <c r="G102" s="24">
        <f t="shared" ref="G102:G111" si="27">3112.40085027508-D102</f>
        <v>-2055.5991497249202</v>
      </c>
      <c r="H102">
        <f t="shared" ref="H102:H112" si="28">E102*F102</f>
        <v>144704</v>
      </c>
    </row>
    <row r="103" spans="1:12" x14ac:dyDescent="0.35">
      <c r="A103" t="s">
        <v>3</v>
      </c>
      <c r="B103">
        <v>825</v>
      </c>
      <c r="C103">
        <v>0</v>
      </c>
      <c r="D103">
        <f>D102+C103-B103</f>
        <v>4343</v>
      </c>
      <c r="E103" s="6">
        <f>(D102+D103)/2</f>
        <v>4755.5</v>
      </c>
      <c r="F103" s="32">
        <v>31</v>
      </c>
      <c r="G103" s="24">
        <f t="shared" si="27"/>
        <v>-1230.5991497249202</v>
      </c>
      <c r="H103">
        <f t="shared" si="28"/>
        <v>147420.5</v>
      </c>
    </row>
    <row r="104" spans="1:12" x14ac:dyDescent="0.35">
      <c r="A104" t="s">
        <v>4</v>
      </c>
      <c r="B104">
        <v>2915</v>
      </c>
      <c r="C104">
        <v>0</v>
      </c>
      <c r="D104">
        <f t="shared" ref="D104" si="29">D103+C104-B104</f>
        <v>1428</v>
      </c>
      <c r="E104" s="6">
        <f t="shared" ref="E104" si="30">(D103+D104)/2</f>
        <v>2885.5</v>
      </c>
      <c r="F104" s="32">
        <v>30</v>
      </c>
      <c r="G104" s="24">
        <f t="shared" si="27"/>
        <v>1684.4008502750798</v>
      </c>
      <c r="H104">
        <f t="shared" si="28"/>
        <v>86565</v>
      </c>
    </row>
    <row r="105" spans="1:12" x14ac:dyDescent="0.35">
      <c r="A105" t="s">
        <v>5</v>
      </c>
      <c r="B105">
        <v>165</v>
      </c>
      <c r="C105">
        <v>1705</v>
      </c>
      <c r="D105">
        <f>D104+C105-B105</f>
        <v>2968</v>
      </c>
      <c r="E105" s="6">
        <f>D104*2/31+((D104+C105+D105)/2)*29/31</f>
        <v>2945.822580645161</v>
      </c>
      <c r="F105" s="32">
        <v>31</v>
      </c>
      <c r="G105" s="24">
        <f t="shared" si="27"/>
        <v>144.40085027507985</v>
      </c>
      <c r="H105">
        <f t="shared" si="28"/>
        <v>91320.499999999985</v>
      </c>
    </row>
    <row r="106" spans="1:12" x14ac:dyDescent="0.35">
      <c r="A106" t="s">
        <v>6</v>
      </c>
      <c r="B106">
        <v>1815</v>
      </c>
      <c r="C106" s="34">
        <v>165</v>
      </c>
      <c r="D106">
        <f t="shared" ref="D106:D112" si="31">D105+C106-B106</f>
        <v>1318</v>
      </c>
      <c r="E106" s="6">
        <f>(D105+C106+D106)/2</f>
        <v>2225.5</v>
      </c>
      <c r="F106" s="32">
        <v>30</v>
      </c>
      <c r="G106" s="24">
        <f t="shared" si="27"/>
        <v>1794.4008502750798</v>
      </c>
      <c r="H106">
        <f t="shared" si="28"/>
        <v>66765</v>
      </c>
    </row>
    <row r="107" spans="1:12" x14ac:dyDescent="0.35">
      <c r="A107" t="s">
        <v>7</v>
      </c>
      <c r="B107">
        <v>1870</v>
      </c>
      <c r="C107">
        <v>1815</v>
      </c>
      <c r="D107">
        <f t="shared" si="31"/>
        <v>1263</v>
      </c>
      <c r="E107" s="6">
        <f t="shared" ref="E107:E111" si="32">(D106+C107+D107)/2</f>
        <v>2198</v>
      </c>
      <c r="F107" s="32">
        <v>31</v>
      </c>
      <c r="G107" s="24">
        <f t="shared" si="27"/>
        <v>1849.4008502750798</v>
      </c>
      <c r="H107">
        <f t="shared" si="28"/>
        <v>68138</v>
      </c>
    </row>
    <row r="108" spans="1:12" x14ac:dyDescent="0.35">
      <c r="A108" t="s">
        <v>8</v>
      </c>
      <c r="B108">
        <v>1980</v>
      </c>
      <c r="C108">
        <v>1870</v>
      </c>
      <c r="D108">
        <f t="shared" si="31"/>
        <v>1153</v>
      </c>
      <c r="E108" s="6">
        <f>D107*1/31+((D107+C108+D108)/2)*30/31</f>
        <v>2114.6129032258063</v>
      </c>
      <c r="F108" s="32">
        <v>31</v>
      </c>
      <c r="G108" s="24">
        <f t="shared" si="27"/>
        <v>1959.4008502750798</v>
      </c>
      <c r="H108">
        <f t="shared" si="28"/>
        <v>65553</v>
      </c>
    </row>
    <row r="109" spans="1:12" x14ac:dyDescent="0.35">
      <c r="A109" t="s">
        <v>9</v>
      </c>
      <c r="B109">
        <v>2035</v>
      </c>
      <c r="C109">
        <v>1980</v>
      </c>
      <c r="D109">
        <f t="shared" si="31"/>
        <v>1098</v>
      </c>
      <c r="E109" s="6">
        <f t="shared" si="32"/>
        <v>2115.5</v>
      </c>
      <c r="F109" s="32">
        <v>30</v>
      </c>
      <c r="G109" s="24">
        <f t="shared" si="27"/>
        <v>2014.4008502750798</v>
      </c>
      <c r="H109">
        <f t="shared" si="28"/>
        <v>63465</v>
      </c>
    </row>
    <row r="110" spans="1:12" x14ac:dyDescent="0.35">
      <c r="A110" t="s">
        <v>10</v>
      </c>
      <c r="B110">
        <v>1045</v>
      </c>
      <c r="C110">
        <v>2035</v>
      </c>
      <c r="D110">
        <f t="shared" si="31"/>
        <v>2088</v>
      </c>
      <c r="E110" s="6">
        <f t="shared" si="32"/>
        <v>2610.5</v>
      </c>
      <c r="F110" s="33">
        <v>31</v>
      </c>
      <c r="G110" s="24">
        <f t="shared" si="27"/>
        <v>1024.4008502750798</v>
      </c>
      <c r="H110">
        <f t="shared" si="28"/>
        <v>80925.5</v>
      </c>
    </row>
    <row r="111" spans="1:12" x14ac:dyDescent="0.35">
      <c r="A111" t="s">
        <v>11</v>
      </c>
      <c r="B111">
        <v>550</v>
      </c>
      <c r="C111" s="34">
        <v>1045</v>
      </c>
      <c r="D111">
        <f t="shared" si="31"/>
        <v>2583</v>
      </c>
      <c r="E111" s="6">
        <f t="shared" si="32"/>
        <v>2858</v>
      </c>
      <c r="F111" s="32">
        <v>30</v>
      </c>
      <c r="G111" s="24">
        <f t="shared" si="27"/>
        <v>529.40085027507985</v>
      </c>
      <c r="H111">
        <f t="shared" si="28"/>
        <v>85740</v>
      </c>
    </row>
    <row r="112" spans="1:12" x14ac:dyDescent="0.35">
      <c r="A112" t="s">
        <v>12</v>
      </c>
      <c r="B112">
        <v>1375</v>
      </c>
      <c r="C112" s="34">
        <v>550</v>
      </c>
      <c r="D112">
        <f t="shared" si="31"/>
        <v>1758</v>
      </c>
      <c r="E112" s="6">
        <f>(D111+C112+D112)/2</f>
        <v>2445.5</v>
      </c>
      <c r="F112" s="32">
        <v>31</v>
      </c>
      <c r="G112" s="24"/>
      <c r="H112">
        <f t="shared" si="28"/>
        <v>75810.5</v>
      </c>
      <c r="J112" s="23" t="s">
        <v>136</v>
      </c>
      <c r="K112" s="23" t="s">
        <v>137</v>
      </c>
      <c r="L112" s="23" t="s">
        <v>138</v>
      </c>
    </row>
    <row r="113" spans="1:12" x14ac:dyDescent="0.35">
      <c r="A113" s="69" t="s">
        <v>135</v>
      </c>
      <c r="B113" s="69"/>
      <c r="C113" s="69"/>
      <c r="D113" s="69"/>
      <c r="E113" s="69"/>
      <c r="F113" s="69"/>
      <c r="G113" s="69"/>
      <c r="H113" s="29">
        <f>SUM(H101:H112)/365</f>
        <v>3114.0136986301368</v>
      </c>
      <c r="J113" s="6">
        <f>H113*12.75*0.8498</f>
        <v>33740.182723972597</v>
      </c>
      <c r="K113">
        <f>337*3+500</f>
        <v>1511</v>
      </c>
      <c r="L113" s="30">
        <f>J113+K113</f>
        <v>35251.182723972597</v>
      </c>
    </row>
    <row r="115" spans="1:12" x14ac:dyDescent="0.35">
      <c r="A115" t="s">
        <v>14</v>
      </c>
      <c r="B115" t="s">
        <v>141</v>
      </c>
      <c r="C115" t="s">
        <v>50</v>
      </c>
      <c r="D115" t="s">
        <v>143</v>
      </c>
      <c r="E115" t="s">
        <v>109</v>
      </c>
      <c r="F115" s="32" t="s">
        <v>110</v>
      </c>
      <c r="G115" s="24" t="s">
        <v>140</v>
      </c>
      <c r="H115" t="s">
        <v>111</v>
      </c>
    </row>
    <row r="116" spans="1:12" x14ac:dyDescent="0.35">
      <c r="A116" t="s">
        <v>1</v>
      </c>
      <c r="B116">
        <v>0</v>
      </c>
      <c r="C116">
        <v>0</v>
      </c>
      <c r="D116">
        <v>5168</v>
      </c>
      <c r="E116">
        <v>5168</v>
      </c>
      <c r="F116" s="32">
        <v>31</v>
      </c>
      <c r="G116" s="24">
        <f>3112.40085027508-D116</f>
        <v>-2055.5991497249202</v>
      </c>
      <c r="H116">
        <f>E116*F116</f>
        <v>160208</v>
      </c>
    </row>
    <row r="117" spans="1:12" x14ac:dyDescent="0.35">
      <c r="A117" t="s">
        <v>2</v>
      </c>
      <c r="B117">
        <v>0</v>
      </c>
      <c r="C117">
        <v>0</v>
      </c>
      <c r="D117">
        <v>5168</v>
      </c>
      <c r="E117">
        <v>5168</v>
      </c>
      <c r="F117" s="32">
        <v>28</v>
      </c>
      <c r="G117" s="24">
        <f t="shared" ref="G117:G126" si="33">3112.40085027508-D117</f>
        <v>-2055.5991497249202</v>
      </c>
      <c r="H117">
        <f t="shared" ref="H117:H127" si="34">E117*F117</f>
        <v>144704</v>
      </c>
    </row>
    <row r="118" spans="1:12" x14ac:dyDescent="0.35">
      <c r="A118" t="s">
        <v>3</v>
      </c>
      <c r="B118">
        <v>825</v>
      </c>
      <c r="C118">
        <v>0</v>
      </c>
      <c r="D118">
        <f>D117+C118-B118</f>
        <v>4343</v>
      </c>
      <c r="E118" s="6">
        <f>(D117+D118)/2</f>
        <v>4755.5</v>
      </c>
      <c r="F118" s="32">
        <v>31</v>
      </c>
      <c r="G118" s="24">
        <f t="shared" si="33"/>
        <v>-1230.5991497249202</v>
      </c>
      <c r="H118">
        <f t="shared" si="34"/>
        <v>147420.5</v>
      </c>
    </row>
    <row r="119" spans="1:12" x14ac:dyDescent="0.35">
      <c r="A119" t="s">
        <v>4</v>
      </c>
      <c r="B119">
        <v>2915</v>
      </c>
      <c r="C119">
        <v>0</v>
      </c>
      <c r="D119">
        <f t="shared" ref="D119" si="35">D118+C119-B119</f>
        <v>1428</v>
      </c>
      <c r="E119" s="6">
        <f t="shared" ref="E119" si="36">(D118+D119)/2</f>
        <v>2885.5</v>
      </c>
      <c r="F119" s="32">
        <v>30</v>
      </c>
      <c r="G119" s="24">
        <f t="shared" si="33"/>
        <v>1684.4008502750798</v>
      </c>
      <c r="H119">
        <f t="shared" si="34"/>
        <v>86565</v>
      </c>
    </row>
    <row r="120" spans="1:12" x14ac:dyDescent="0.35">
      <c r="A120" t="s">
        <v>5</v>
      </c>
      <c r="B120">
        <v>165</v>
      </c>
      <c r="C120">
        <v>1705</v>
      </c>
      <c r="D120">
        <f>D119+C120-B120</f>
        <v>2968</v>
      </c>
      <c r="E120" s="6">
        <f>D119*2/31+((D119+C120+D120)/2)*29/31</f>
        <v>2945.822580645161</v>
      </c>
      <c r="F120" s="32">
        <v>31</v>
      </c>
      <c r="G120" s="24">
        <f t="shared" si="33"/>
        <v>144.40085027507985</v>
      </c>
      <c r="H120">
        <f t="shared" si="34"/>
        <v>91320.499999999985</v>
      </c>
    </row>
    <row r="121" spans="1:12" x14ac:dyDescent="0.35">
      <c r="A121" t="s">
        <v>6</v>
      </c>
      <c r="B121">
        <v>1815</v>
      </c>
      <c r="C121">
        <v>1595</v>
      </c>
      <c r="D121">
        <f t="shared" ref="D121:D127" si="37">D120+C121-B121</f>
        <v>2748</v>
      </c>
      <c r="E121" s="6">
        <f>(D120+C121+D121)/2</f>
        <v>3655.5</v>
      </c>
      <c r="F121" s="32">
        <v>30</v>
      </c>
      <c r="G121" s="24">
        <f t="shared" si="33"/>
        <v>364.40085027507985</v>
      </c>
      <c r="H121">
        <f t="shared" si="34"/>
        <v>109665</v>
      </c>
    </row>
    <row r="122" spans="1:12" x14ac:dyDescent="0.35">
      <c r="A122" t="s">
        <v>7</v>
      </c>
      <c r="B122">
        <v>1870</v>
      </c>
      <c r="C122">
        <v>1595</v>
      </c>
      <c r="D122">
        <f t="shared" si="37"/>
        <v>2473</v>
      </c>
      <c r="E122" s="6">
        <f>(D121+C122+D122)/2</f>
        <v>3408</v>
      </c>
      <c r="F122" s="32">
        <v>31</v>
      </c>
      <c r="G122" s="24">
        <f t="shared" si="33"/>
        <v>639.40085027507985</v>
      </c>
      <c r="H122">
        <f t="shared" si="34"/>
        <v>105648</v>
      </c>
    </row>
    <row r="123" spans="1:12" x14ac:dyDescent="0.35">
      <c r="A123" t="s">
        <v>8</v>
      </c>
      <c r="B123">
        <v>1980</v>
      </c>
      <c r="C123">
        <v>1595</v>
      </c>
      <c r="D123">
        <f t="shared" si="37"/>
        <v>2088</v>
      </c>
      <c r="E123" s="6">
        <f>D122*1/31+((D122+C123+D123)/2)*30/31</f>
        <v>3058.483870967742</v>
      </c>
      <c r="F123" s="32">
        <v>31</v>
      </c>
      <c r="G123" s="24">
        <f t="shared" si="33"/>
        <v>1024.4008502750798</v>
      </c>
      <c r="H123">
        <f t="shared" si="34"/>
        <v>94813</v>
      </c>
    </row>
    <row r="124" spans="1:12" x14ac:dyDescent="0.35">
      <c r="A124" t="s">
        <v>9</v>
      </c>
      <c r="B124">
        <v>2035</v>
      </c>
      <c r="C124">
        <v>1595</v>
      </c>
      <c r="D124">
        <f t="shared" si="37"/>
        <v>1648</v>
      </c>
      <c r="E124" s="6">
        <f>(D123+C124+D124)/2</f>
        <v>2665.5</v>
      </c>
      <c r="F124" s="32">
        <v>30</v>
      </c>
      <c r="G124" s="24">
        <f t="shared" si="33"/>
        <v>1464.4008502750798</v>
      </c>
      <c r="H124">
        <f t="shared" si="34"/>
        <v>79965</v>
      </c>
    </row>
    <row r="125" spans="1:12" x14ac:dyDescent="0.35">
      <c r="A125" t="s">
        <v>10</v>
      </c>
      <c r="B125">
        <v>1045</v>
      </c>
      <c r="C125">
        <v>1595</v>
      </c>
      <c r="D125">
        <f t="shared" si="37"/>
        <v>2198</v>
      </c>
      <c r="E125" s="6">
        <f>(D124+C125+D125)/2</f>
        <v>2720.5</v>
      </c>
      <c r="F125" s="33">
        <v>31</v>
      </c>
      <c r="G125" s="24">
        <f t="shared" si="33"/>
        <v>914.40085027507985</v>
      </c>
      <c r="H125">
        <f t="shared" si="34"/>
        <v>84335.5</v>
      </c>
    </row>
    <row r="126" spans="1:12" x14ac:dyDescent="0.35">
      <c r="A126" t="s">
        <v>11</v>
      </c>
      <c r="B126">
        <v>550</v>
      </c>
      <c r="C126">
        <v>1595</v>
      </c>
      <c r="D126">
        <f t="shared" si="37"/>
        <v>3243</v>
      </c>
      <c r="E126" s="6">
        <f>(D125+C126+D126)/2</f>
        <v>3518</v>
      </c>
      <c r="F126" s="32">
        <v>30</v>
      </c>
      <c r="G126" s="24">
        <f t="shared" si="33"/>
        <v>-130.59914972492015</v>
      </c>
      <c r="H126">
        <f t="shared" si="34"/>
        <v>105540</v>
      </c>
    </row>
    <row r="127" spans="1:12" x14ac:dyDescent="0.35">
      <c r="A127" t="s">
        <v>12</v>
      </c>
      <c r="B127">
        <v>1375</v>
      </c>
      <c r="C127">
        <v>0</v>
      </c>
      <c r="D127">
        <f t="shared" si="37"/>
        <v>1868</v>
      </c>
      <c r="E127" s="6">
        <f>(D126+C127+D127)/2</f>
        <v>2555.5</v>
      </c>
      <c r="F127" s="32">
        <v>31</v>
      </c>
      <c r="G127" s="24"/>
      <c r="H127">
        <f t="shared" si="34"/>
        <v>79220.5</v>
      </c>
      <c r="J127" s="23" t="s">
        <v>136</v>
      </c>
      <c r="K127" s="23" t="s">
        <v>137</v>
      </c>
      <c r="L127" s="23" t="s">
        <v>138</v>
      </c>
    </row>
    <row r="128" spans="1:12" x14ac:dyDescent="0.35">
      <c r="A128" s="69" t="s">
        <v>135</v>
      </c>
      <c r="B128" s="69"/>
      <c r="C128" s="69"/>
      <c r="D128" s="69"/>
      <c r="E128" s="69"/>
      <c r="F128" s="69"/>
      <c r="G128" s="69"/>
      <c r="H128" s="29">
        <f>SUM(H116:H127)/365</f>
        <v>3532.6164383561645</v>
      </c>
      <c r="J128" s="6">
        <f>H128*12.75*0.8498</f>
        <v>38275.722478767122</v>
      </c>
      <c r="K128">
        <v>700</v>
      </c>
      <c r="L128" s="30">
        <f>J128+K128</f>
        <v>38975.722478767122</v>
      </c>
    </row>
    <row r="130" spans="1:12" x14ac:dyDescent="0.35">
      <c r="A130" s="68" t="s">
        <v>146</v>
      </c>
      <c r="B130" s="68"/>
      <c r="C130" s="68"/>
      <c r="D130" s="68"/>
      <c r="E130" s="68"/>
      <c r="F130" s="68"/>
      <c r="G130" s="68"/>
      <c r="H130" s="68"/>
    </row>
    <row r="131" spans="1:12" x14ac:dyDescent="0.35">
      <c r="A131" t="s">
        <v>14</v>
      </c>
      <c r="B131" t="s">
        <v>141</v>
      </c>
      <c r="C131" t="s">
        <v>50</v>
      </c>
      <c r="D131" t="s">
        <v>143</v>
      </c>
      <c r="E131" t="s">
        <v>109</v>
      </c>
      <c r="F131" s="32" t="s">
        <v>110</v>
      </c>
      <c r="G131" s="24" t="s">
        <v>140</v>
      </c>
      <c r="H131" t="s">
        <v>111</v>
      </c>
    </row>
    <row r="132" spans="1:12" x14ac:dyDescent="0.35">
      <c r="A132" t="s">
        <v>1</v>
      </c>
      <c r="B132">
        <v>0</v>
      </c>
      <c r="C132">
        <v>0</v>
      </c>
      <c r="D132">
        <v>5168</v>
      </c>
      <c r="E132">
        <v>5168</v>
      </c>
      <c r="F132" s="32">
        <v>31</v>
      </c>
      <c r="G132" s="24">
        <f>2696.33931176783-D132</f>
        <v>-2471.6606882321698</v>
      </c>
      <c r="H132">
        <f>E132*F132</f>
        <v>160208</v>
      </c>
    </row>
    <row r="133" spans="1:12" x14ac:dyDescent="0.35">
      <c r="A133" t="s">
        <v>2</v>
      </c>
      <c r="B133">
        <v>0</v>
      </c>
      <c r="C133">
        <v>0</v>
      </c>
      <c r="D133">
        <v>5168</v>
      </c>
      <c r="E133">
        <v>5168</v>
      </c>
      <c r="F133" s="32">
        <v>28</v>
      </c>
      <c r="G133" s="24">
        <f t="shared" ref="G133:G142" si="38">2696.33931176783-D133</f>
        <v>-2471.6606882321698</v>
      </c>
      <c r="H133">
        <f t="shared" ref="H133:H143" si="39">E133*F133</f>
        <v>144704</v>
      </c>
    </row>
    <row r="134" spans="1:12" x14ac:dyDescent="0.35">
      <c r="A134" t="s">
        <v>3</v>
      </c>
      <c r="B134">
        <v>825</v>
      </c>
      <c r="C134">
        <v>0</v>
      </c>
      <c r="D134">
        <f>D133+C134-B134</f>
        <v>4343</v>
      </c>
      <c r="E134" s="6">
        <f>(D133+D134)/2</f>
        <v>4755.5</v>
      </c>
      <c r="F134" s="32">
        <v>31</v>
      </c>
      <c r="G134" s="24">
        <f t="shared" si="38"/>
        <v>-1646.6606882321698</v>
      </c>
      <c r="H134">
        <f t="shared" si="39"/>
        <v>147420.5</v>
      </c>
    </row>
    <row r="135" spans="1:12" x14ac:dyDescent="0.35">
      <c r="A135" t="s">
        <v>4</v>
      </c>
      <c r="B135">
        <v>2915</v>
      </c>
      <c r="C135">
        <v>0</v>
      </c>
      <c r="D135">
        <f t="shared" ref="D135" si="40">D134+C135-B135</f>
        <v>1428</v>
      </c>
      <c r="E135" s="6">
        <f t="shared" ref="E135" si="41">(D134+D135)/2</f>
        <v>2885.5</v>
      </c>
      <c r="F135" s="32">
        <v>30</v>
      </c>
      <c r="G135" s="24">
        <f>2696.33931176783-D135</f>
        <v>1268.3393117678302</v>
      </c>
      <c r="H135">
        <f t="shared" si="39"/>
        <v>86565</v>
      </c>
    </row>
    <row r="136" spans="1:12" x14ac:dyDescent="0.35">
      <c r="A136" t="s">
        <v>5</v>
      </c>
      <c r="B136">
        <v>165</v>
      </c>
      <c r="C136" s="34">
        <v>1320</v>
      </c>
      <c r="D136">
        <f>D135+C136-B136</f>
        <v>2583</v>
      </c>
      <c r="E136" s="6">
        <f>D135*2/31+((D135+C136+D136)/2)*29/31</f>
        <v>2585.6612903225805</v>
      </c>
      <c r="F136" s="32">
        <v>31</v>
      </c>
      <c r="G136" s="24">
        <f t="shared" si="38"/>
        <v>113.33931176783017</v>
      </c>
      <c r="H136">
        <f t="shared" si="39"/>
        <v>80155.5</v>
      </c>
    </row>
    <row r="137" spans="1:12" x14ac:dyDescent="0.35">
      <c r="A137" t="s">
        <v>6</v>
      </c>
      <c r="B137">
        <v>1815</v>
      </c>
      <c r="C137" s="34">
        <v>165</v>
      </c>
      <c r="D137">
        <f t="shared" ref="D137:D143" si="42">D136+C137-B137</f>
        <v>933</v>
      </c>
      <c r="E137" s="6">
        <f>(D136+C137+D137)/2</f>
        <v>1840.5</v>
      </c>
      <c r="F137" s="32">
        <v>30</v>
      </c>
      <c r="G137" s="24">
        <f t="shared" si="38"/>
        <v>1763.3393117678302</v>
      </c>
      <c r="H137">
        <f t="shared" si="39"/>
        <v>55215</v>
      </c>
    </row>
    <row r="138" spans="1:12" x14ac:dyDescent="0.35">
      <c r="A138" t="s">
        <v>7</v>
      </c>
      <c r="B138">
        <v>1870</v>
      </c>
      <c r="C138">
        <v>1815</v>
      </c>
      <c r="D138">
        <f t="shared" si="42"/>
        <v>878</v>
      </c>
      <c r="E138" s="6">
        <f t="shared" ref="E138:E142" si="43">(D137+C138+D138)/2</f>
        <v>1813</v>
      </c>
      <c r="F138" s="32">
        <v>31</v>
      </c>
      <c r="G138" s="24">
        <f t="shared" si="38"/>
        <v>1818.3393117678302</v>
      </c>
      <c r="H138">
        <f t="shared" si="39"/>
        <v>56203</v>
      </c>
    </row>
    <row r="139" spans="1:12" x14ac:dyDescent="0.35">
      <c r="A139" t="s">
        <v>8</v>
      </c>
      <c r="B139">
        <v>1980</v>
      </c>
      <c r="C139">
        <v>1870</v>
      </c>
      <c r="D139">
        <f t="shared" si="42"/>
        <v>768</v>
      </c>
      <c r="E139" s="6">
        <f>D138*1/31+((D138+C139+D139)/2)*30/31</f>
        <v>1729.6129032258063</v>
      </c>
      <c r="F139" s="32">
        <v>31</v>
      </c>
      <c r="G139" s="24">
        <f t="shared" si="38"/>
        <v>1928.3393117678302</v>
      </c>
      <c r="H139">
        <f t="shared" si="39"/>
        <v>53618</v>
      </c>
    </row>
    <row r="140" spans="1:12" x14ac:dyDescent="0.35">
      <c r="A140" t="s">
        <v>9</v>
      </c>
      <c r="B140">
        <v>2035</v>
      </c>
      <c r="C140">
        <v>1980</v>
      </c>
      <c r="D140">
        <f t="shared" si="42"/>
        <v>713</v>
      </c>
      <c r="E140" s="6">
        <f t="shared" si="43"/>
        <v>1730.5</v>
      </c>
      <c r="F140" s="32">
        <v>30</v>
      </c>
      <c r="G140" s="24">
        <f t="shared" si="38"/>
        <v>1983.3393117678302</v>
      </c>
      <c r="H140">
        <f t="shared" si="39"/>
        <v>51915</v>
      </c>
    </row>
    <row r="141" spans="1:12" x14ac:dyDescent="0.35">
      <c r="A141" t="s">
        <v>10</v>
      </c>
      <c r="B141">
        <v>1045</v>
      </c>
      <c r="C141">
        <v>2035</v>
      </c>
      <c r="D141">
        <f t="shared" si="42"/>
        <v>1703</v>
      </c>
      <c r="E141" s="6">
        <f t="shared" si="43"/>
        <v>2225.5</v>
      </c>
      <c r="F141" s="33">
        <v>31</v>
      </c>
      <c r="G141" s="24">
        <f t="shared" si="38"/>
        <v>993.33931176783017</v>
      </c>
      <c r="H141">
        <f t="shared" si="39"/>
        <v>68990.5</v>
      </c>
    </row>
    <row r="142" spans="1:12" x14ac:dyDescent="0.35">
      <c r="A142" t="s">
        <v>11</v>
      </c>
      <c r="B142">
        <v>550</v>
      </c>
      <c r="C142" s="34">
        <v>1045</v>
      </c>
      <c r="D142">
        <f t="shared" si="42"/>
        <v>2198</v>
      </c>
      <c r="E142" s="6">
        <f t="shared" si="43"/>
        <v>2473</v>
      </c>
      <c r="F142" s="32">
        <v>30</v>
      </c>
      <c r="G142" s="24">
        <f t="shared" si="38"/>
        <v>498.33931176783017</v>
      </c>
      <c r="H142">
        <f t="shared" si="39"/>
        <v>74190</v>
      </c>
    </row>
    <row r="143" spans="1:12" x14ac:dyDescent="0.35">
      <c r="A143" t="s">
        <v>12</v>
      </c>
      <c r="B143">
        <v>1375</v>
      </c>
      <c r="C143" s="34">
        <v>550</v>
      </c>
      <c r="D143">
        <f t="shared" si="42"/>
        <v>1373</v>
      </c>
      <c r="E143" s="6">
        <f>(D142+C143+D143)/2</f>
        <v>2060.5</v>
      </c>
      <c r="F143" s="32">
        <v>31</v>
      </c>
      <c r="G143" s="24"/>
      <c r="H143">
        <f t="shared" si="39"/>
        <v>63875.5</v>
      </c>
      <c r="J143" s="23" t="s">
        <v>136</v>
      </c>
      <c r="K143" s="23" t="s">
        <v>137</v>
      </c>
      <c r="L143" s="23" t="s">
        <v>138</v>
      </c>
    </row>
    <row r="144" spans="1:12" x14ac:dyDescent="0.35">
      <c r="A144" s="69" t="s">
        <v>135</v>
      </c>
      <c r="B144" s="69"/>
      <c r="C144" s="69"/>
      <c r="D144" s="69"/>
      <c r="E144" s="69"/>
      <c r="F144" s="69"/>
      <c r="G144" s="69"/>
      <c r="H144" s="29">
        <f>SUM(H132:H143)/365</f>
        <v>2857.6986301369861</v>
      </c>
      <c r="J144" s="6">
        <f>H144*12.75*0.8498</f>
        <v>30963.021772602737</v>
      </c>
      <c r="K144">
        <f>337*4+400</f>
        <v>1748</v>
      </c>
      <c r="L144" s="30">
        <f>J144+K144</f>
        <v>32711.021772602737</v>
      </c>
    </row>
    <row r="146" spans="1:12" x14ac:dyDescent="0.35">
      <c r="A146" t="s">
        <v>14</v>
      </c>
      <c r="B146" t="s">
        <v>141</v>
      </c>
      <c r="C146" t="s">
        <v>50</v>
      </c>
      <c r="D146" t="s">
        <v>143</v>
      </c>
      <c r="E146" t="s">
        <v>109</v>
      </c>
      <c r="F146" s="32" t="s">
        <v>110</v>
      </c>
      <c r="G146" s="24" t="s">
        <v>140</v>
      </c>
      <c r="H146" t="s">
        <v>111</v>
      </c>
    </row>
    <row r="147" spans="1:12" x14ac:dyDescent="0.35">
      <c r="A147" t="s">
        <v>1</v>
      </c>
      <c r="B147">
        <v>0</v>
      </c>
      <c r="C147">
        <v>0</v>
      </c>
      <c r="D147">
        <v>5168</v>
      </c>
      <c r="E147">
        <v>5168</v>
      </c>
      <c r="F147" s="32">
        <v>31</v>
      </c>
      <c r="G147" s="24">
        <f>2696.33931176783-D147</f>
        <v>-2471.6606882321698</v>
      </c>
      <c r="H147">
        <f>E147*F147</f>
        <v>160208</v>
      </c>
    </row>
    <row r="148" spans="1:12" x14ac:dyDescent="0.35">
      <c r="A148" t="s">
        <v>2</v>
      </c>
      <c r="B148">
        <v>0</v>
      </c>
      <c r="C148">
        <v>0</v>
      </c>
      <c r="D148">
        <v>5168</v>
      </c>
      <c r="E148">
        <v>5168</v>
      </c>
      <c r="F148" s="32">
        <v>28</v>
      </c>
      <c r="G148" s="24">
        <f t="shared" ref="G148:G156" si="44">2696.33931176783-D148</f>
        <v>-2471.6606882321698</v>
      </c>
      <c r="H148">
        <f t="shared" ref="H148:H158" si="45">E148*F148</f>
        <v>144704</v>
      </c>
    </row>
    <row r="149" spans="1:12" x14ac:dyDescent="0.35">
      <c r="A149" t="s">
        <v>3</v>
      </c>
      <c r="B149">
        <v>825</v>
      </c>
      <c r="C149">
        <v>0</v>
      </c>
      <c r="D149">
        <f>D148+C149-B149</f>
        <v>4343</v>
      </c>
      <c r="E149" s="6">
        <f>(D148+D149)/2</f>
        <v>4755.5</v>
      </c>
      <c r="F149" s="32">
        <v>31</v>
      </c>
      <c r="G149" s="24">
        <f t="shared" si="44"/>
        <v>-1646.6606882321698</v>
      </c>
      <c r="H149">
        <f t="shared" si="45"/>
        <v>147420.5</v>
      </c>
    </row>
    <row r="150" spans="1:12" x14ac:dyDescent="0.35">
      <c r="A150" t="s">
        <v>4</v>
      </c>
      <c r="B150">
        <v>2915</v>
      </c>
      <c r="C150">
        <v>0</v>
      </c>
      <c r="D150">
        <f t="shared" ref="D150" si="46">D149+C150-B150</f>
        <v>1428</v>
      </c>
      <c r="E150" s="6">
        <f t="shared" ref="E150" si="47">(D149+D150)/2</f>
        <v>2885.5</v>
      </c>
      <c r="F150" s="32">
        <v>30</v>
      </c>
      <c r="G150" s="24">
        <f t="shared" si="44"/>
        <v>1268.3393117678302</v>
      </c>
      <c r="H150">
        <f t="shared" si="45"/>
        <v>86565</v>
      </c>
    </row>
    <row r="151" spans="1:12" x14ac:dyDescent="0.35">
      <c r="A151" t="s">
        <v>5</v>
      </c>
      <c r="B151">
        <v>165</v>
      </c>
      <c r="C151">
        <v>1595</v>
      </c>
      <c r="D151">
        <f>D150+C151-B151</f>
        <v>2858</v>
      </c>
      <c r="E151" s="6">
        <f>D150*2/31+((D150+C151+D151)/2)*29/31</f>
        <v>2842.9193548387098</v>
      </c>
      <c r="F151" s="32">
        <v>31</v>
      </c>
      <c r="G151" s="24">
        <f t="shared" si="44"/>
        <v>-161.66068823216983</v>
      </c>
      <c r="H151">
        <f t="shared" si="45"/>
        <v>88130.5</v>
      </c>
    </row>
    <row r="152" spans="1:12" x14ac:dyDescent="0.35">
      <c r="A152" t="s">
        <v>6</v>
      </c>
      <c r="B152">
        <v>1815</v>
      </c>
      <c r="C152">
        <v>0</v>
      </c>
      <c r="D152">
        <f t="shared" ref="D152:D158" si="48">D151+C152-B152</f>
        <v>1043</v>
      </c>
      <c r="E152" s="6">
        <f>(D151+C152+D152)/2</f>
        <v>1950.5</v>
      </c>
      <c r="F152" s="32">
        <v>30</v>
      </c>
      <c r="G152" s="24">
        <f t="shared" si="44"/>
        <v>1653.3393117678302</v>
      </c>
      <c r="H152">
        <f t="shared" si="45"/>
        <v>58515</v>
      </c>
    </row>
    <row r="153" spans="1:12" x14ac:dyDescent="0.35">
      <c r="A153" t="s">
        <v>7</v>
      </c>
      <c r="B153">
        <v>1870</v>
      </c>
      <c r="C153">
        <v>1705</v>
      </c>
      <c r="D153">
        <f t="shared" si="48"/>
        <v>878</v>
      </c>
      <c r="E153" s="6">
        <f>(D152+C153+D153)/2</f>
        <v>1813</v>
      </c>
      <c r="F153" s="32">
        <v>31</v>
      </c>
      <c r="G153" s="24">
        <f t="shared" si="44"/>
        <v>1818.3393117678302</v>
      </c>
      <c r="H153">
        <f t="shared" si="45"/>
        <v>56203</v>
      </c>
    </row>
    <row r="154" spans="1:12" x14ac:dyDescent="0.35">
      <c r="A154" t="s">
        <v>8</v>
      </c>
      <c r="B154">
        <v>1980</v>
      </c>
      <c r="C154">
        <v>1870</v>
      </c>
      <c r="D154">
        <f t="shared" si="48"/>
        <v>768</v>
      </c>
      <c r="E154" s="6">
        <f>D153*1/31+((D153+C154+D154)/2)*30/31</f>
        <v>1729.6129032258063</v>
      </c>
      <c r="F154" s="32">
        <v>31</v>
      </c>
      <c r="G154" s="24">
        <f t="shared" si="44"/>
        <v>1928.3393117678302</v>
      </c>
      <c r="H154">
        <f t="shared" si="45"/>
        <v>53618</v>
      </c>
    </row>
    <row r="155" spans="1:12" x14ac:dyDescent="0.35">
      <c r="A155" t="s">
        <v>9</v>
      </c>
      <c r="B155">
        <v>2035</v>
      </c>
      <c r="C155">
        <v>1980</v>
      </c>
      <c r="D155">
        <f t="shared" si="48"/>
        <v>713</v>
      </c>
      <c r="E155" s="6">
        <f t="shared" ref="E155" si="49">(D154+C155+D155)/2</f>
        <v>1730.5</v>
      </c>
      <c r="F155" s="32">
        <v>30</v>
      </c>
      <c r="G155" s="24">
        <f t="shared" si="44"/>
        <v>1983.3393117678302</v>
      </c>
      <c r="H155">
        <f t="shared" si="45"/>
        <v>51915</v>
      </c>
    </row>
    <row r="156" spans="1:12" x14ac:dyDescent="0.35">
      <c r="A156" t="s">
        <v>10</v>
      </c>
      <c r="B156">
        <v>1045</v>
      </c>
      <c r="C156">
        <v>2035</v>
      </c>
      <c r="D156">
        <f t="shared" si="48"/>
        <v>1703</v>
      </c>
      <c r="E156" s="6">
        <f>(D155+C156+D156)/2</f>
        <v>2225.5</v>
      </c>
      <c r="F156" s="33">
        <v>31</v>
      </c>
      <c r="G156" s="24">
        <f t="shared" si="44"/>
        <v>993.33931176783017</v>
      </c>
      <c r="H156">
        <f t="shared" si="45"/>
        <v>68990.5</v>
      </c>
    </row>
    <row r="157" spans="1:12" x14ac:dyDescent="0.35">
      <c r="A157" t="s">
        <v>11</v>
      </c>
      <c r="B157">
        <v>550</v>
      </c>
      <c r="C157">
        <v>1045</v>
      </c>
      <c r="D157">
        <f t="shared" si="48"/>
        <v>2198</v>
      </c>
      <c r="E157" s="6">
        <f t="shared" ref="E157" si="50">(D156+C157+D157)/2</f>
        <v>2473</v>
      </c>
      <c r="F157" s="32">
        <v>30</v>
      </c>
      <c r="G157" s="24">
        <f>2696.33931176783-D157</f>
        <v>498.33931176783017</v>
      </c>
      <c r="H157">
        <f t="shared" si="45"/>
        <v>74190</v>
      </c>
    </row>
    <row r="158" spans="1:12" x14ac:dyDescent="0.35">
      <c r="A158" t="s">
        <v>12</v>
      </c>
      <c r="B158">
        <v>1375</v>
      </c>
      <c r="C158">
        <v>550</v>
      </c>
      <c r="D158">
        <f t="shared" si="48"/>
        <v>1373</v>
      </c>
      <c r="E158" s="6">
        <f>(D157+C158+D158)/2</f>
        <v>2060.5</v>
      </c>
      <c r="F158" s="32">
        <v>31</v>
      </c>
      <c r="G158" s="24"/>
      <c r="H158">
        <f t="shared" si="45"/>
        <v>63875.5</v>
      </c>
      <c r="J158" s="23" t="s">
        <v>136</v>
      </c>
      <c r="K158" s="23" t="s">
        <v>137</v>
      </c>
      <c r="L158" s="23" t="s">
        <v>138</v>
      </c>
    </row>
    <row r="159" spans="1:12" x14ac:dyDescent="0.35">
      <c r="A159" s="69" t="s">
        <v>135</v>
      </c>
      <c r="B159" s="69"/>
      <c r="C159" s="69"/>
      <c r="D159" s="69"/>
      <c r="E159" s="69"/>
      <c r="F159" s="69"/>
      <c r="G159" s="69"/>
      <c r="H159" s="29">
        <f>SUM(H147:H158)/365</f>
        <v>2888.5890410958905</v>
      </c>
      <c r="J159" s="6">
        <f>H159*12.75*0.8498</f>
        <v>31297.717830821919</v>
      </c>
      <c r="K159">
        <v>700</v>
      </c>
      <c r="L159" s="30">
        <f>J159+K159</f>
        <v>31997.717830821919</v>
      </c>
    </row>
    <row r="161" spans="1:12" x14ac:dyDescent="0.35">
      <c r="A161" s="68" t="s">
        <v>147</v>
      </c>
      <c r="B161" s="68"/>
      <c r="C161" s="68"/>
      <c r="D161" s="68"/>
      <c r="E161" s="68"/>
      <c r="F161" s="68"/>
      <c r="G161" s="68"/>
      <c r="H161" s="68"/>
    </row>
    <row r="162" spans="1:12" x14ac:dyDescent="0.35">
      <c r="A162" t="s">
        <v>14</v>
      </c>
      <c r="B162" t="s">
        <v>141</v>
      </c>
      <c r="C162" t="s">
        <v>50</v>
      </c>
      <c r="D162" t="s">
        <v>143</v>
      </c>
      <c r="E162" t="s">
        <v>109</v>
      </c>
      <c r="F162" s="32" t="s">
        <v>110</v>
      </c>
      <c r="G162" s="24" t="s">
        <v>140</v>
      </c>
      <c r="H162" t="s">
        <v>111</v>
      </c>
    </row>
    <row r="163" spans="1:12" x14ac:dyDescent="0.35">
      <c r="A163" t="s">
        <v>1</v>
      </c>
      <c r="B163">
        <v>0</v>
      </c>
      <c r="C163">
        <v>0</v>
      </c>
      <c r="D163">
        <v>5168</v>
      </c>
      <c r="E163">
        <v>5168</v>
      </c>
      <c r="F163" s="32">
        <v>31</v>
      </c>
      <c r="G163" s="24">
        <f>6790.27385356016-D163</f>
        <v>1622.2738535601602</v>
      </c>
      <c r="H163">
        <f>E163*F163</f>
        <v>160208</v>
      </c>
    </row>
    <row r="164" spans="1:12" x14ac:dyDescent="0.35">
      <c r="A164" t="s">
        <v>2</v>
      </c>
      <c r="B164">
        <v>0</v>
      </c>
      <c r="C164">
        <v>0</v>
      </c>
      <c r="D164">
        <v>5168</v>
      </c>
      <c r="E164">
        <v>5168</v>
      </c>
      <c r="F164" s="32">
        <v>28</v>
      </c>
      <c r="G164" s="24">
        <f>6790.27385356016-D164</f>
        <v>1622.2738535601602</v>
      </c>
      <c r="H164">
        <f t="shared" ref="H164:H174" si="51">E164*F164</f>
        <v>144704</v>
      </c>
    </row>
    <row r="165" spans="1:12" x14ac:dyDescent="0.35">
      <c r="A165" t="s">
        <v>3</v>
      </c>
      <c r="B165">
        <v>825</v>
      </c>
      <c r="C165">
        <v>1650</v>
      </c>
      <c r="D165">
        <f>D164+C165-B165</f>
        <v>5993</v>
      </c>
      <c r="E165" s="6">
        <f>(D164+C165+D165)/2</f>
        <v>6405.5</v>
      </c>
      <c r="F165" s="32">
        <v>31</v>
      </c>
      <c r="G165" s="24">
        <f t="shared" ref="G165:G173" si="52">6790.27385356016-D165</f>
        <v>797.27385356016021</v>
      </c>
      <c r="H165">
        <f t="shared" si="51"/>
        <v>198570.5</v>
      </c>
    </row>
    <row r="166" spans="1:12" x14ac:dyDescent="0.35">
      <c r="A166" t="s">
        <v>4</v>
      </c>
      <c r="B166">
        <v>2915</v>
      </c>
      <c r="C166">
        <v>0</v>
      </c>
      <c r="D166">
        <f t="shared" ref="D166" si="53">D165+C166-B166</f>
        <v>3078</v>
      </c>
      <c r="E166" s="6">
        <f t="shared" ref="E166" si="54">(D165+C166+D166)/2</f>
        <v>4535.5</v>
      </c>
      <c r="F166" s="32">
        <v>30</v>
      </c>
      <c r="G166" s="24">
        <f t="shared" si="52"/>
        <v>3712.2738535601602</v>
      </c>
      <c r="H166">
        <f t="shared" si="51"/>
        <v>136065</v>
      </c>
    </row>
    <row r="167" spans="1:12" x14ac:dyDescent="0.35">
      <c r="A167" t="s">
        <v>5</v>
      </c>
      <c r="B167">
        <v>165</v>
      </c>
      <c r="C167">
        <v>3740</v>
      </c>
      <c r="D167">
        <f>D166+C167-B167</f>
        <v>6653</v>
      </c>
      <c r="E167" s="6">
        <f>D166*2/31+((D166+C167+D167)/2)*29/31</f>
        <v>6499.5322580645161</v>
      </c>
      <c r="F167" s="32">
        <v>31</v>
      </c>
      <c r="G167" s="24">
        <f t="shared" si="52"/>
        <v>137.27385356016021</v>
      </c>
      <c r="H167">
        <f t="shared" si="51"/>
        <v>201485.5</v>
      </c>
    </row>
    <row r="168" spans="1:12" x14ac:dyDescent="0.35">
      <c r="A168" t="s">
        <v>6</v>
      </c>
      <c r="B168">
        <v>1815</v>
      </c>
      <c r="C168">
        <v>0</v>
      </c>
      <c r="D168">
        <f t="shared" ref="D168:D174" si="55">D167+C168-B168</f>
        <v>4838</v>
      </c>
      <c r="E168" s="6">
        <f>(D167+C168+D168)/2</f>
        <v>5745.5</v>
      </c>
      <c r="F168" s="32">
        <v>30</v>
      </c>
      <c r="G168" s="24">
        <f t="shared" si="52"/>
        <v>1952.2738535601602</v>
      </c>
      <c r="H168">
        <f t="shared" si="51"/>
        <v>172365</v>
      </c>
    </row>
    <row r="169" spans="1:12" x14ac:dyDescent="0.35">
      <c r="A169" t="s">
        <v>7</v>
      </c>
      <c r="B169">
        <v>1870</v>
      </c>
      <c r="C169">
        <v>1980</v>
      </c>
      <c r="D169">
        <f t="shared" si="55"/>
        <v>4948</v>
      </c>
      <c r="E169" s="6">
        <f t="shared" ref="E169:E173" si="56">(D168+C169+D169)/2</f>
        <v>5883</v>
      </c>
      <c r="F169" s="32">
        <v>31</v>
      </c>
      <c r="G169" s="24">
        <f>6790.27385356016-D169</f>
        <v>1842.2738535601602</v>
      </c>
      <c r="H169">
        <f t="shared" si="51"/>
        <v>182373</v>
      </c>
    </row>
    <row r="170" spans="1:12" x14ac:dyDescent="0.35">
      <c r="A170" t="s">
        <v>8</v>
      </c>
      <c r="B170">
        <v>1980</v>
      </c>
      <c r="C170">
        <v>0</v>
      </c>
      <c r="D170">
        <f t="shared" si="55"/>
        <v>2968</v>
      </c>
      <c r="E170" s="6">
        <f>D169*1/31+((D169+C170+D170)/2)*30/31</f>
        <v>3989.9354838709678</v>
      </c>
      <c r="F170" s="32">
        <v>31</v>
      </c>
      <c r="G170" s="24">
        <f t="shared" si="52"/>
        <v>3822.2738535601602</v>
      </c>
      <c r="H170">
        <f t="shared" si="51"/>
        <v>123688</v>
      </c>
    </row>
    <row r="171" spans="1:12" x14ac:dyDescent="0.35">
      <c r="A171" t="s">
        <v>9</v>
      </c>
      <c r="B171">
        <v>2035</v>
      </c>
      <c r="C171">
        <v>3850</v>
      </c>
      <c r="D171">
        <f t="shared" si="55"/>
        <v>4783</v>
      </c>
      <c r="E171" s="6">
        <f t="shared" si="56"/>
        <v>5800.5</v>
      </c>
      <c r="F171" s="32">
        <v>30</v>
      </c>
      <c r="G171" s="24">
        <f t="shared" si="52"/>
        <v>2007.2738535601602</v>
      </c>
      <c r="H171">
        <f t="shared" si="51"/>
        <v>174015</v>
      </c>
    </row>
    <row r="172" spans="1:12" x14ac:dyDescent="0.35">
      <c r="A172" t="s">
        <v>10</v>
      </c>
      <c r="B172">
        <v>1045</v>
      </c>
      <c r="C172">
        <v>0</v>
      </c>
      <c r="D172">
        <f t="shared" si="55"/>
        <v>3738</v>
      </c>
      <c r="E172" s="6">
        <f t="shared" si="56"/>
        <v>4260.5</v>
      </c>
      <c r="F172" s="33">
        <v>31</v>
      </c>
      <c r="G172" s="24">
        <f t="shared" si="52"/>
        <v>3052.2738535601602</v>
      </c>
      <c r="H172">
        <f t="shared" si="51"/>
        <v>132075.5</v>
      </c>
    </row>
    <row r="173" spans="1:12" x14ac:dyDescent="0.35">
      <c r="A173" t="s">
        <v>11</v>
      </c>
      <c r="B173">
        <v>550</v>
      </c>
      <c r="C173">
        <v>3080</v>
      </c>
      <c r="D173">
        <f t="shared" si="55"/>
        <v>6268</v>
      </c>
      <c r="E173" s="6">
        <f t="shared" si="56"/>
        <v>6543</v>
      </c>
      <c r="F173" s="32">
        <v>30</v>
      </c>
      <c r="G173" s="24">
        <f t="shared" si="52"/>
        <v>522.27385356016021</v>
      </c>
      <c r="H173">
        <f t="shared" si="51"/>
        <v>196290</v>
      </c>
    </row>
    <row r="174" spans="1:12" x14ac:dyDescent="0.35">
      <c r="A174" t="s">
        <v>12</v>
      </c>
      <c r="B174">
        <v>1375</v>
      </c>
      <c r="C174">
        <v>0</v>
      </c>
      <c r="D174">
        <f t="shared" si="55"/>
        <v>4893</v>
      </c>
      <c r="E174" s="6">
        <f>(D173+C174+D174)/2</f>
        <v>5580.5</v>
      </c>
      <c r="F174" s="32">
        <v>31</v>
      </c>
      <c r="G174" s="24"/>
      <c r="H174">
        <f t="shared" si="51"/>
        <v>172995.5</v>
      </c>
      <c r="J174" s="23" t="s">
        <v>136</v>
      </c>
      <c r="K174" s="23" t="s">
        <v>137</v>
      </c>
      <c r="L174" s="23" t="s">
        <v>138</v>
      </c>
    </row>
    <row r="175" spans="1:12" x14ac:dyDescent="0.35">
      <c r="A175" s="69" t="s">
        <v>135</v>
      </c>
      <c r="B175" s="69"/>
      <c r="C175" s="69"/>
      <c r="D175" s="69"/>
      <c r="E175" s="69"/>
      <c r="F175" s="69"/>
      <c r="G175" s="69"/>
      <c r="H175" s="29">
        <f>SUM(H163:H174)/365</f>
        <v>5465.3013698630139</v>
      </c>
      <c r="J175" s="6">
        <f>H175*12.75*0.8498</f>
        <v>59216.267077397257</v>
      </c>
      <c r="K175">
        <v>500</v>
      </c>
      <c r="L175" s="30">
        <f>J175+K175</f>
        <v>59716.267077397257</v>
      </c>
    </row>
    <row r="177" spans="1:12" x14ac:dyDescent="0.35">
      <c r="A177" s="68" t="s">
        <v>148</v>
      </c>
      <c r="B177" s="68"/>
      <c r="C177" s="68"/>
      <c r="D177" s="68"/>
      <c r="E177" s="68"/>
      <c r="F177" s="68"/>
      <c r="G177" s="68"/>
      <c r="H177" s="68"/>
    </row>
    <row r="178" spans="1:12" x14ac:dyDescent="0.35">
      <c r="A178" t="s">
        <v>14</v>
      </c>
      <c r="B178" t="s">
        <v>141</v>
      </c>
      <c r="C178" t="s">
        <v>50</v>
      </c>
      <c r="D178" t="s">
        <v>143</v>
      </c>
      <c r="E178" t="s">
        <v>109</v>
      </c>
      <c r="F178" s="32" t="s">
        <v>110</v>
      </c>
      <c r="G178" s="24" t="s">
        <v>140</v>
      </c>
      <c r="H178" t="s">
        <v>111</v>
      </c>
    </row>
    <row r="179" spans="1:12" x14ac:dyDescent="0.35">
      <c r="A179" t="s">
        <v>1</v>
      </c>
      <c r="B179">
        <v>0</v>
      </c>
      <c r="C179">
        <v>0</v>
      </c>
      <c r="D179">
        <v>5168</v>
      </c>
      <c r="E179">
        <v>5168</v>
      </c>
      <c r="F179" s="32">
        <v>31</v>
      </c>
      <c r="G179" s="24">
        <f>5889.2034073867-D179</f>
        <v>721.20340738669984</v>
      </c>
      <c r="H179">
        <f>E179*F179</f>
        <v>160208</v>
      </c>
    </row>
    <row r="180" spans="1:12" x14ac:dyDescent="0.35">
      <c r="A180" t="s">
        <v>2</v>
      </c>
      <c r="B180">
        <v>0</v>
      </c>
      <c r="C180">
        <v>0</v>
      </c>
      <c r="D180">
        <v>5168</v>
      </c>
      <c r="E180">
        <v>5168</v>
      </c>
      <c r="F180" s="32">
        <v>28</v>
      </c>
      <c r="G180" s="24">
        <f t="shared" ref="G180:G189" si="57">5889.2034073867-D180</f>
        <v>721.20340738669984</v>
      </c>
      <c r="H180">
        <f t="shared" ref="H180:H190" si="58">E180*F180</f>
        <v>144704</v>
      </c>
    </row>
    <row r="181" spans="1:12" x14ac:dyDescent="0.35">
      <c r="A181" t="s">
        <v>3</v>
      </c>
      <c r="B181">
        <v>825</v>
      </c>
      <c r="C181" s="34">
        <v>770</v>
      </c>
      <c r="D181">
        <f>D180+C181-B181</f>
        <v>5113</v>
      </c>
      <c r="E181" s="6">
        <f t="shared" ref="E181:E182" si="59">(D180+C181+D181)/2</f>
        <v>5525.5</v>
      </c>
      <c r="F181" s="32">
        <v>31</v>
      </c>
      <c r="G181" s="24">
        <f t="shared" si="57"/>
        <v>776.20340738669984</v>
      </c>
      <c r="H181">
        <f t="shared" si="58"/>
        <v>171290.5</v>
      </c>
    </row>
    <row r="182" spans="1:12" x14ac:dyDescent="0.35">
      <c r="A182" t="s">
        <v>4</v>
      </c>
      <c r="B182">
        <v>2915</v>
      </c>
      <c r="C182">
        <v>0</v>
      </c>
      <c r="D182">
        <f t="shared" ref="D182" si="60">D181+C182-B182</f>
        <v>2198</v>
      </c>
      <c r="E182" s="6">
        <f t="shared" si="59"/>
        <v>3655.5</v>
      </c>
      <c r="F182" s="32">
        <v>30</v>
      </c>
      <c r="G182" s="24">
        <f t="shared" si="57"/>
        <v>3691.2034073866998</v>
      </c>
      <c r="H182">
        <f t="shared" si="58"/>
        <v>109665</v>
      </c>
    </row>
    <row r="183" spans="1:12" x14ac:dyDescent="0.35">
      <c r="A183" t="s">
        <v>5</v>
      </c>
      <c r="B183">
        <v>165</v>
      </c>
      <c r="C183">
        <v>3740</v>
      </c>
      <c r="D183">
        <f>D182+C183-B183</f>
        <v>5773</v>
      </c>
      <c r="E183" s="6">
        <f>D182*2/31+((D182+C183+D183)/2)*29/31</f>
        <v>5619.5322580645161</v>
      </c>
      <c r="F183" s="32">
        <v>31</v>
      </c>
      <c r="G183" s="24">
        <f t="shared" si="57"/>
        <v>116.20340738669984</v>
      </c>
      <c r="H183">
        <f t="shared" si="58"/>
        <v>174205.5</v>
      </c>
    </row>
    <row r="184" spans="1:12" x14ac:dyDescent="0.35">
      <c r="A184" t="s">
        <v>6</v>
      </c>
      <c r="B184">
        <v>1815</v>
      </c>
      <c r="C184">
        <v>0</v>
      </c>
      <c r="D184">
        <f t="shared" ref="D184:D190" si="61">D183+C184-B184</f>
        <v>3958</v>
      </c>
      <c r="E184" s="6">
        <f>(D183+C184+D184)/2</f>
        <v>4865.5</v>
      </c>
      <c r="F184" s="32">
        <v>30</v>
      </c>
      <c r="G184" s="24">
        <f t="shared" si="57"/>
        <v>1931.2034073866998</v>
      </c>
      <c r="H184">
        <f t="shared" si="58"/>
        <v>145965</v>
      </c>
    </row>
    <row r="185" spans="1:12" x14ac:dyDescent="0.35">
      <c r="A185" t="s">
        <v>7</v>
      </c>
      <c r="B185">
        <v>1870</v>
      </c>
      <c r="C185">
        <v>1980</v>
      </c>
      <c r="D185">
        <f t="shared" si="61"/>
        <v>4068</v>
      </c>
      <c r="E185" s="6">
        <f t="shared" ref="E185" si="62">(D184+C185+D185)/2</f>
        <v>5003</v>
      </c>
      <c r="F185" s="32">
        <v>31</v>
      </c>
      <c r="G185" s="24">
        <f t="shared" si="57"/>
        <v>1821.2034073866998</v>
      </c>
      <c r="H185">
        <f t="shared" si="58"/>
        <v>155093</v>
      </c>
    </row>
    <row r="186" spans="1:12" x14ac:dyDescent="0.35">
      <c r="A186" t="s">
        <v>8</v>
      </c>
      <c r="B186">
        <v>1980</v>
      </c>
      <c r="C186">
        <v>0</v>
      </c>
      <c r="D186">
        <f t="shared" si="61"/>
        <v>2088</v>
      </c>
      <c r="E186" s="6">
        <f>D185*1/31+((D185+C186+D186)/2)*30/31</f>
        <v>3109.9354838709673</v>
      </c>
      <c r="F186" s="32">
        <v>31</v>
      </c>
      <c r="G186" s="24">
        <f t="shared" si="57"/>
        <v>3801.2034073866998</v>
      </c>
      <c r="H186">
        <f t="shared" si="58"/>
        <v>96407.999999999985</v>
      </c>
    </row>
    <row r="187" spans="1:12" x14ac:dyDescent="0.35">
      <c r="A187" t="s">
        <v>9</v>
      </c>
      <c r="B187">
        <v>2035</v>
      </c>
      <c r="C187">
        <v>3850</v>
      </c>
      <c r="D187">
        <f t="shared" si="61"/>
        <v>3903</v>
      </c>
      <c r="E187" s="6">
        <f t="shared" ref="E187:E189" si="63">(D186+C187+D187)/2</f>
        <v>4920.5</v>
      </c>
      <c r="F187" s="32">
        <v>30</v>
      </c>
      <c r="G187" s="24">
        <f t="shared" si="57"/>
        <v>1986.2034073866998</v>
      </c>
      <c r="H187">
        <f t="shared" si="58"/>
        <v>147615</v>
      </c>
    </row>
    <row r="188" spans="1:12" x14ac:dyDescent="0.35">
      <c r="A188" t="s">
        <v>10</v>
      </c>
      <c r="B188">
        <v>1045</v>
      </c>
      <c r="C188">
        <v>0</v>
      </c>
      <c r="D188">
        <f t="shared" si="61"/>
        <v>2858</v>
      </c>
      <c r="E188" s="6">
        <f t="shared" si="63"/>
        <v>3380.5</v>
      </c>
      <c r="F188" s="33">
        <v>31</v>
      </c>
      <c r="G188" s="24">
        <f t="shared" si="57"/>
        <v>3031.2034073866998</v>
      </c>
      <c r="H188">
        <f t="shared" si="58"/>
        <v>104795.5</v>
      </c>
    </row>
    <row r="189" spans="1:12" x14ac:dyDescent="0.35">
      <c r="A189" t="s">
        <v>11</v>
      </c>
      <c r="B189">
        <v>550</v>
      </c>
      <c r="C189">
        <v>3080</v>
      </c>
      <c r="D189">
        <f t="shared" si="61"/>
        <v>5388</v>
      </c>
      <c r="E189" s="6">
        <f t="shared" si="63"/>
        <v>5663</v>
      </c>
      <c r="F189" s="32">
        <v>30</v>
      </c>
      <c r="G189" s="24">
        <f t="shared" si="57"/>
        <v>501.20340738669984</v>
      </c>
      <c r="H189">
        <f t="shared" si="58"/>
        <v>169890</v>
      </c>
    </row>
    <row r="190" spans="1:12" x14ac:dyDescent="0.35">
      <c r="A190" t="s">
        <v>12</v>
      </c>
      <c r="B190">
        <v>1375</v>
      </c>
      <c r="C190">
        <v>0</v>
      </c>
      <c r="D190">
        <f t="shared" si="61"/>
        <v>4013</v>
      </c>
      <c r="E190" s="6">
        <f>(D189+C190+D190)/2</f>
        <v>4700.5</v>
      </c>
      <c r="F190" s="32">
        <v>31</v>
      </c>
      <c r="G190" s="24"/>
      <c r="H190">
        <f t="shared" si="58"/>
        <v>145715.5</v>
      </c>
      <c r="J190" s="23" t="s">
        <v>136</v>
      </c>
      <c r="K190" s="23" t="s">
        <v>137</v>
      </c>
      <c r="L190" s="23" t="s">
        <v>138</v>
      </c>
    </row>
    <row r="191" spans="1:12" x14ac:dyDescent="0.35">
      <c r="A191" s="69" t="s">
        <v>135</v>
      </c>
      <c r="B191" s="69"/>
      <c r="C191" s="69"/>
      <c r="D191" s="69"/>
      <c r="E191" s="69"/>
      <c r="F191" s="69"/>
      <c r="G191" s="69"/>
      <c r="H191" s="29">
        <f>SUM(H179:H190)/365</f>
        <v>4727.5479452054797</v>
      </c>
      <c r="J191" s="6">
        <f>H191*12.75*0.8498</f>
        <v>51222.745608904108</v>
      </c>
      <c r="K191">
        <f>400+337</f>
        <v>737</v>
      </c>
      <c r="L191" s="30">
        <f>J191+K191</f>
        <v>51959.745608904108</v>
      </c>
    </row>
    <row r="193" spans="1:12" x14ac:dyDescent="0.35">
      <c r="A193" s="68" t="s">
        <v>149</v>
      </c>
      <c r="B193" s="68"/>
      <c r="C193" s="68"/>
      <c r="D193" s="68"/>
      <c r="E193" s="68"/>
      <c r="F193" s="68"/>
      <c r="G193" s="68"/>
      <c r="H193" s="68"/>
    </row>
    <row r="194" spans="1:12" x14ac:dyDescent="0.35">
      <c r="A194" t="s">
        <v>14</v>
      </c>
      <c r="B194" t="s">
        <v>141</v>
      </c>
      <c r="C194" t="s">
        <v>50</v>
      </c>
      <c r="D194" t="s">
        <v>143</v>
      </c>
      <c r="E194" t="s">
        <v>109</v>
      </c>
      <c r="F194" s="32" t="s">
        <v>110</v>
      </c>
      <c r="G194" s="24" t="s">
        <v>140</v>
      </c>
      <c r="H194" t="s">
        <v>111</v>
      </c>
    </row>
    <row r="195" spans="1:12" x14ac:dyDescent="0.35">
      <c r="A195" t="s">
        <v>1</v>
      </c>
      <c r="B195">
        <v>0</v>
      </c>
      <c r="C195">
        <v>0</v>
      </c>
      <c r="D195">
        <v>5168</v>
      </c>
      <c r="E195">
        <v>5168</v>
      </c>
      <c r="F195" s="32">
        <v>31</v>
      </c>
      <c r="G195" s="24">
        <f>5408.84608674053-D195</f>
        <v>240.84608674053015</v>
      </c>
      <c r="H195">
        <f>E195*F195</f>
        <v>160208</v>
      </c>
    </row>
    <row r="196" spans="1:12" x14ac:dyDescent="0.35">
      <c r="A196" t="s">
        <v>2</v>
      </c>
      <c r="B196">
        <v>0</v>
      </c>
      <c r="C196">
        <v>0</v>
      </c>
      <c r="D196">
        <v>5168</v>
      </c>
      <c r="E196">
        <v>5168</v>
      </c>
      <c r="F196" s="32">
        <v>28</v>
      </c>
      <c r="G196" s="24">
        <f t="shared" ref="G196:G205" si="64">5408.84608674053-D196</f>
        <v>240.84608674053015</v>
      </c>
      <c r="H196">
        <f t="shared" ref="H196:H206" si="65">E196*F196</f>
        <v>144704</v>
      </c>
    </row>
    <row r="197" spans="1:12" x14ac:dyDescent="0.35">
      <c r="A197" t="s">
        <v>3</v>
      </c>
      <c r="B197">
        <v>825</v>
      </c>
      <c r="C197" s="34">
        <v>275</v>
      </c>
      <c r="D197">
        <f>D196+C197-B197</f>
        <v>4618</v>
      </c>
      <c r="E197" s="6">
        <f>(D196+C197+D197)/2</f>
        <v>5030.5</v>
      </c>
      <c r="F197" s="32">
        <v>31</v>
      </c>
      <c r="G197" s="24">
        <f t="shared" si="64"/>
        <v>790.84608674053015</v>
      </c>
      <c r="H197">
        <f t="shared" si="65"/>
        <v>155945.5</v>
      </c>
    </row>
    <row r="198" spans="1:12" x14ac:dyDescent="0.35">
      <c r="A198" t="s">
        <v>4</v>
      </c>
      <c r="B198">
        <v>2915</v>
      </c>
      <c r="C198">
        <v>0</v>
      </c>
      <c r="D198">
        <f t="shared" ref="D198" si="66">D197+C198-B198</f>
        <v>1703</v>
      </c>
      <c r="E198" s="6">
        <f t="shared" ref="E198" si="67">(D197+C198+D198)/2</f>
        <v>3160.5</v>
      </c>
      <c r="F198" s="32">
        <v>30</v>
      </c>
      <c r="G198" s="24">
        <f t="shared" si="64"/>
        <v>3705.8460867405302</v>
      </c>
      <c r="H198">
        <f t="shared" si="65"/>
        <v>94815</v>
      </c>
    </row>
    <row r="199" spans="1:12" x14ac:dyDescent="0.35">
      <c r="A199" t="s">
        <v>5</v>
      </c>
      <c r="B199">
        <v>165</v>
      </c>
      <c r="C199">
        <v>3740</v>
      </c>
      <c r="D199">
        <f>D198+C199-B199</f>
        <v>5278</v>
      </c>
      <c r="E199" s="6">
        <f>D198*2/31+((D198+C199+D199)/2)*29/31</f>
        <v>5124.5322580645161</v>
      </c>
      <c r="F199" s="32">
        <v>31</v>
      </c>
      <c r="G199" s="24">
        <f t="shared" si="64"/>
        <v>130.84608674053015</v>
      </c>
      <c r="H199">
        <f t="shared" si="65"/>
        <v>158860.5</v>
      </c>
    </row>
    <row r="200" spans="1:12" x14ac:dyDescent="0.35">
      <c r="A200" t="s">
        <v>6</v>
      </c>
      <c r="B200">
        <v>1815</v>
      </c>
      <c r="C200">
        <v>0</v>
      </c>
      <c r="D200">
        <f t="shared" ref="D200:D206" si="68">D199+C200-B200</f>
        <v>3463</v>
      </c>
      <c r="E200" s="6">
        <f>(D199+C200+D200)/2</f>
        <v>4370.5</v>
      </c>
      <c r="F200" s="32">
        <v>30</v>
      </c>
      <c r="G200" s="24">
        <f t="shared" si="64"/>
        <v>1945.8460867405302</v>
      </c>
      <c r="H200">
        <f t="shared" si="65"/>
        <v>131115</v>
      </c>
    </row>
    <row r="201" spans="1:12" x14ac:dyDescent="0.35">
      <c r="A201" t="s">
        <v>7</v>
      </c>
      <c r="B201">
        <v>1870</v>
      </c>
      <c r="C201">
        <v>1980</v>
      </c>
      <c r="D201">
        <f t="shared" si="68"/>
        <v>3573</v>
      </c>
      <c r="E201" s="6">
        <f t="shared" ref="E201" si="69">(D200+C201+D201)/2</f>
        <v>4508</v>
      </c>
      <c r="F201" s="32">
        <v>31</v>
      </c>
      <c r="G201" s="24">
        <f t="shared" si="64"/>
        <v>1835.8460867405302</v>
      </c>
      <c r="H201">
        <f t="shared" si="65"/>
        <v>139748</v>
      </c>
    </row>
    <row r="202" spans="1:12" x14ac:dyDescent="0.35">
      <c r="A202" t="s">
        <v>8</v>
      </c>
      <c r="B202">
        <v>1980</v>
      </c>
      <c r="C202">
        <v>0</v>
      </c>
      <c r="D202">
        <f t="shared" si="68"/>
        <v>1593</v>
      </c>
      <c r="E202" s="6">
        <f>D201*1/31+((D201+C202+D202)/2)*30/31</f>
        <v>2614.9354838709678</v>
      </c>
      <c r="F202" s="32">
        <v>31</v>
      </c>
      <c r="G202" s="24">
        <f t="shared" si="64"/>
        <v>3815.8460867405302</v>
      </c>
      <c r="H202">
        <f t="shared" si="65"/>
        <v>81063</v>
      </c>
    </row>
    <row r="203" spans="1:12" x14ac:dyDescent="0.35">
      <c r="A203" t="s">
        <v>9</v>
      </c>
      <c r="B203">
        <v>2035</v>
      </c>
      <c r="C203">
        <v>3850</v>
      </c>
      <c r="D203">
        <f t="shared" si="68"/>
        <v>3408</v>
      </c>
      <c r="E203" s="6">
        <f t="shared" ref="E203:E205" si="70">(D202+C203+D203)/2</f>
        <v>4425.5</v>
      </c>
      <c r="F203" s="32">
        <v>30</v>
      </c>
      <c r="G203" s="24">
        <f t="shared" si="64"/>
        <v>2000.8460867405302</v>
      </c>
      <c r="H203">
        <f t="shared" si="65"/>
        <v>132765</v>
      </c>
    </row>
    <row r="204" spans="1:12" x14ac:dyDescent="0.35">
      <c r="A204" t="s">
        <v>10</v>
      </c>
      <c r="B204">
        <v>1045</v>
      </c>
      <c r="C204">
        <v>0</v>
      </c>
      <c r="D204">
        <f t="shared" si="68"/>
        <v>2363</v>
      </c>
      <c r="E204" s="6">
        <f t="shared" si="70"/>
        <v>2885.5</v>
      </c>
      <c r="F204" s="33">
        <v>31</v>
      </c>
      <c r="G204" s="24">
        <f t="shared" si="64"/>
        <v>3045.8460867405302</v>
      </c>
      <c r="H204">
        <f t="shared" si="65"/>
        <v>89450.5</v>
      </c>
    </row>
    <row r="205" spans="1:12" x14ac:dyDescent="0.35">
      <c r="A205" t="s">
        <v>11</v>
      </c>
      <c r="B205">
        <v>550</v>
      </c>
      <c r="C205">
        <v>3080</v>
      </c>
      <c r="D205">
        <f t="shared" si="68"/>
        <v>4893</v>
      </c>
      <c r="E205" s="6">
        <f t="shared" si="70"/>
        <v>5168</v>
      </c>
      <c r="F205" s="32">
        <v>30</v>
      </c>
      <c r="G205" s="24">
        <f t="shared" si="64"/>
        <v>515.84608674053015</v>
      </c>
      <c r="H205">
        <f t="shared" si="65"/>
        <v>155040</v>
      </c>
    </row>
    <row r="206" spans="1:12" x14ac:dyDescent="0.35">
      <c r="A206" t="s">
        <v>12</v>
      </c>
      <c r="B206">
        <v>1375</v>
      </c>
      <c r="C206">
        <v>0</v>
      </c>
      <c r="D206">
        <f t="shared" si="68"/>
        <v>3518</v>
      </c>
      <c r="E206" s="6">
        <f>(D205+C206+D206)/2</f>
        <v>4205.5</v>
      </c>
      <c r="F206" s="32">
        <v>31</v>
      </c>
      <c r="G206" s="24"/>
      <c r="H206">
        <f t="shared" si="65"/>
        <v>130370.5</v>
      </c>
      <c r="J206" s="23" t="s">
        <v>136</v>
      </c>
      <c r="K206" s="23" t="s">
        <v>137</v>
      </c>
      <c r="L206" s="23" t="s">
        <v>138</v>
      </c>
    </row>
    <row r="207" spans="1:12" x14ac:dyDescent="0.35">
      <c r="A207" s="69" t="s">
        <v>135</v>
      </c>
      <c r="B207" s="69"/>
      <c r="C207" s="69"/>
      <c r="D207" s="69"/>
      <c r="E207" s="69"/>
      <c r="F207" s="69"/>
      <c r="G207" s="69"/>
      <c r="H207" s="29">
        <f>SUM(H195:H206)/365</f>
        <v>4312.5616438356165</v>
      </c>
      <c r="J207" s="6">
        <f>H207*12.75*0.8498</f>
        <v>46726.389782876715</v>
      </c>
      <c r="K207">
        <f>400+337</f>
        <v>737</v>
      </c>
      <c r="L207" s="30">
        <f>J207+K207</f>
        <v>47463.389782876715</v>
      </c>
    </row>
    <row r="209" spans="1:12" x14ac:dyDescent="0.35">
      <c r="A209" s="68" t="s">
        <v>150</v>
      </c>
      <c r="B209" s="68"/>
      <c r="C209" s="68"/>
      <c r="D209" s="68"/>
      <c r="E209" s="68"/>
      <c r="F209" s="68"/>
      <c r="G209" s="68"/>
      <c r="H209" s="68"/>
    </row>
    <row r="210" spans="1:12" x14ac:dyDescent="0.35">
      <c r="A210" t="s">
        <v>14</v>
      </c>
      <c r="B210" t="s">
        <v>141</v>
      </c>
      <c r="C210" t="s">
        <v>50</v>
      </c>
      <c r="D210" t="s">
        <v>143</v>
      </c>
      <c r="E210" t="s">
        <v>109</v>
      </c>
      <c r="F210" s="32" t="s">
        <v>110</v>
      </c>
      <c r="G210" s="24" t="s">
        <v>140</v>
      </c>
      <c r="H210" t="s">
        <v>111</v>
      </c>
    </row>
    <row r="211" spans="1:12" x14ac:dyDescent="0.35">
      <c r="A211" t="s">
        <v>1</v>
      </c>
      <c r="B211">
        <v>0</v>
      </c>
      <c r="C211">
        <v>0</v>
      </c>
      <c r="D211">
        <v>5168</v>
      </c>
      <c r="E211">
        <v>5168</v>
      </c>
      <c r="F211" s="32">
        <v>31</v>
      </c>
      <c r="G211" s="24">
        <f>4827.17100700507-D211</f>
        <v>-340.82899299492965</v>
      </c>
      <c r="H211">
        <f>E211*F211</f>
        <v>160208</v>
      </c>
    </row>
    <row r="212" spans="1:12" x14ac:dyDescent="0.35">
      <c r="A212" t="s">
        <v>2</v>
      </c>
      <c r="B212">
        <v>0</v>
      </c>
      <c r="C212">
        <v>0</v>
      </c>
      <c r="D212">
        <v>5168</v>
      </c>
      <c r="E212">
        <v>5168</v>
      </c>
      <c r="F212" s="32">
        <v>28</v>
      </c>
      <c r="G212" s="24">
        <f t="shared" ref="G212:G221" si="71">4827.17100700507-D212</f>
        <v>-340.82899299492965</v>
      </c>
      <c r="H212">
        <f t="shared" ref="H212:H222" si="72">E212*F212</f>
        <v>144704</v>
      </c>
    </row>
    <row r="213" spans="1:12" x14ac:dyDescent="0.35">
      <c r="A213" t="s">
        <v>3</v>
      </c>
      <c r="B213">
        <v>825</v>
      </c>
      <c r="C213">
        <v>0</v>
      </c>
      <c r="D213">
        <f>D212+C213-B213</f>
        <v>4343</v>
      </c>
      <c r="E213" s="6">
        <f>(D212+C213+D213)/2</f>
        <v>4755.5</v>
      </c>
      <c r="F213" s="32">
        <v>31</v>
      </c>
      <c r="G213" s="24">
        <f t="shared" si="71"/>
        <v>484.17100700507035</v>
      </c>
      <c r="H213">
        <f t="shared" si="72"/>
        <v>147420.5</v>
      </c>
    </row>
    <row r="214" spans="1:12" x14ac:dyDescent="0.35">
      <c r="A214" t="s">
        <v>4</v>
      </c>
      <c r="B214">
        <v>2915</v>
      </c>
      <c r="C214">
        <v>0</v>
      </c>
      <c r="D214">
        <f t="shared" ref="D214" si="73">D213+C214-B214</f>
        <v>1428</v>
      </c>
      <c r="E214" s="6">
        <f t="shared" ref="E214" si="74">(D213+C214+D214)/2</f>
        <v>2885.5</v>
      </c>
      <c r="F214" s="32">
        <v>30</v>
      </c>
      <c r="G214" s="24">
        <f t="shared" si="71"/>
        <v>3399.1710070050704</v>
      </c>
      <c r="H214">
        <f t="shared" si="72"/>
        <v>86565</v>
      </c>
    </row>
    <row r="215" spans="1:12" x14ac:dyDescent="0.35">
      <c r="A215" t="s">
        <v>5</v>
      </c>
      <c r="B215">
        <v>165</v>
      </c>
      <c r="C215">
        <v>3410</v>
      </c>
      <c r="D215">
        <f>D214+C215-B215</f>
        <v>4673</v>
      </c>
      <c r="E215" s="6">
        <f>D214*2/31+((D214+C215+D215)/2)*29/31</f>
        <v>4540.822580645161</v>
      </c>
      <c r="F215" s="32">
        <v>31</v>
      </c>
      <c r="G215" s="24">
        <f t="shared" si="71"/>
        <v>154.17100700507035</v>
      </c>
      <c r="H215">
        <f t="shared" si="72"/>
        <v>140765.5</v>
      </c>
    </row>
    <row r="216" spans="1:12" x14ac:dyDescent="0.35">
      <c r="A216" t="s">
        <v>6</v>
      </c>
      <c r="B216">
        <v>1815</v>
      </c>
      <c r="C216">
        <v>0</v>
      </c>
      <c r="D216">
        <f t="shared" ref="D216:D222" si="75">D215+C216-B216</f>
        <v>2858</v>
      </c>
      <c r="E216" s="6">
        <f>(D215+C216+D216)/2</f>
        <v>3765.5</v>
      </c>
      <c r="F216" s="32">
        <v>30</v>
      </c>
      <c r="G216" s="24">
        <f t="shared" si="71"/>
        <v>1969.1710070050704</v>
      </c>
      <c r="H216">
        <f t="shared" si="72"/>
        <v>112965</v>
      </c>
    </row>
    <row r="217" spans="1:12" x14ac:dyDescent="0.35">
      <c r="A217" t="s">
        <v>7</v>
      </c>
      <c r="B217">
        <v>1870</v>
      </c>
      <c r="C217">
        <v>1980</v>
      </c>
      <c r="D217">
        <f t="shared" si="75"/>
        <v>2968</v>
      </c>
      <c r="E217" s="6">
        <f t="shared" ref="E217" si="76">(D216+C217+D217)/2</f>
        <v>3903</v>
      </c>
      <c r="F217" s="32">
        <v>31</v>
      </c>
      <c r="G217" s="24">
        <f t="shared" si="71"/>
        <v>1859.1710070050704</v>
      </c>
      <c r="H217">
        <f t="shared" si="72"/>
        <v>120993</v>
      </c>
    </row>
    <row r="218" spans="1:12" x14ac:dyDescent="0.35">
      <c r="A218" t="s">
        <v>8</v>
      </c>
      <c r="B218">
        <v>1980</v>
      </c>
      <c r="C218">
        <v>0</v>
      </c>
      <c r="D218">
        <f t="shared" si="75"/>
        <v>988</v>
      </c>
      <c r="E218" s="6">
        <f>D217*1/31+((D217+C218+D218)/2)*30/31</f>
        <v>2009.9354838709678</v>
      </c>
      <c r="F218" s="32">
        <v>31</v>
      </c>
      <c r="G218" s="24">
        <f t="shared" si="71"/>
        <v>3839.1710070050704</v>
      </c>
      <c r="H218">
        <f t="shared" si="72"/>
        <v>62308</v>
      </c>
    </row>
    <row r="219" spans="1:12" x14ac:dyDescent="0.35">
      <c r="A219" t="s">
        <v>9</v>
      </c>
      <c r="B219">
        <v>2035</v>
      </c>
      <c r="C219">
        <v>3850</v>
      </c>
      <c r="D219">
        <f t="shared" si="75"/>
        <v>2803</v>
      </c>
      <c r="E219" s="6">
        <f t="shared" ref="E219:E221" si="77">(D218+C219+D219)/2</f>
        <v>3820.5</v>
      </c>
      <c r="F219" s="32">
        <v>30</v>
      </c>
      <c r="G219" s="24">
        <f t="shared" si="71"/>
        <v>2024.1710070050704</v>
      </c>
      <c r="H219">
        <f t="shared" si="72"/>
        <v>114615</v>
      </c>
    </row>
    <row r="220" spans="1:12" x14ac:dyDescent="0.35">
      <c r="A220" t="s">
        <v>10</v>
      </c>
      <c r="B220">
        <v>1045</v>
      </c>
      <c r="C220">
        <v>0</v>
      </c>
      <c r="D220">
        <f t="shared" si="75"/>
        <v>1758</v>
      </c>
      <c r="E220" s="6">
        <f t="shared" si="77"/>
        <v>2280.5</v>
      </c>
      <c r="F220" s="33">
        <v>31</v>
      </c>
      <c r="G220" s="24">
        <f t="shared" si="71"/>
        <v>3069.1710070050704</v>
      </c>
      <c r="H220">
        <f t="shared" si="72"/>
        <v>70695.5</v>
      </c>
    </row>
    <row r="221" spans="1:12" x14ac:dyDescent="0.35">
      <c r="A221" t="s">
        <v>11</v>
      </c>
      <c r="B221">
        <v>550</v>
      </c>
      <c r="C221">
        <v>3080</v>
      </c>
      <c r="D221">
        <f t="shared" si="75"/>
        <v>4288</v>
      </c>
      <c r="E221" s="6">
        <f t="shared" si="77"/>
        <v>4563</v>
      </c>
      <c r="F221" s="32">
        <v>30</v>
      </c>
      <c r="G221" s="24">
        <f t="shared" si="71"/>
        <v>539.17100700507035</v>
      </c>
      <c r="H221">
        <f t="shared" si="72"/>
        <v>136890</v>
      </c>
    </row>
    <row r="222" spans="1:12" x14ac:dyDescent="0.35">
      <c r="A222" t="s">
        <v>12</v>
      </c>
      <c r="B222">
        <v>1375</v>
      </c>
      <c r="C222">
        <v>0</v>
      </c>
      <c r="D222">
        <f t="shared" si="75"/>
        <v>2913</v>
      </c>
      <c r="E222" s="6">
        <f>(D221+C222+D222)/2</f>
        <v>3600.5</v>
      </c>
      <c r="F222" s="32">
        <v>31</v>
      </c>
      <c r="G222" s="24"/>
      <c r="H222">
        <f t="shared" si="72"/>
        <v>111615.5</v>
      </c>
      <c r="J222" s="23" t="s">
        <v>136</v>
      </c>
      <c r="K222" s="23" t="s">
        <v>137</v>
      </c>
      <c r="L222" s="23" t="s">
        <v>138</v>
      </c>
    </row>
    <row r="223" spans="1:12" x14ac:dyDescent="0.35">
      <c r="A223" s="69" t="s">
        <v>135</v>
      </c>
      <c r="B223" s="69"/>
      <c r="C223" s="69"/>
      <c r="D223" s="69"/>
      <c r="E223" s="69"/>
      <c r="F223" s="69"/>
      <c r="G223" s="69"/>
      <c r="H223" s="29">
        <f>SUM(H211:H222)/365</f>
        <v>3862.3150684931506</v>
      </c>
      <c r="J223" s="6">
        <f>H223*12.75*0.8498</f>
        <v>41847.990651369859</v>
      </c>
      <c r="K223">
        <v>400</v>
      </c>
      <c r="L223" s="30">
        <f>J223+K223</f>
        <v>42247.990651369859</v>
      </c>
    </row>
    <row r="226" spans="1:5" x14ac:dyDescent="0.35">
      <c r="A226" s="2" t="s">
        <v>151</v>
      </c>
      <c r="B226" s="18">
        <v>99</v>
      </c>
      <c r="C226" s="18">
        <v>95</v>
      </c>
      <c r="D226" s="18">
        <v>90</v>
      </c>
      <c r="E226" s="18">
        <v>80</v>
      </c>
    </row>
    <row r="227" spans="1:5" x14ac:dyDescent="0.35">
      <c r="A227" s="2" t="s">
        <v>152</v>
      </c>
      <c r="B227" s="18">
        <f>K51</f>
        <v>1511</v>
      </c>
      <c r="C227" s="2">
        <f>K82</f>
        <v>1511</v>
      </c>
      <c r="D227" s="2">
        <f>K113</f>
        <v>1511</v>
      </c>
      <c r="E227" s="2">
        <f>K144</f>
        <v>1748</v>
      </c>
    </row>
    <row r="228" spans="1:5" x14ac:dyDescent="0.35">
      <c r="A228" s="2" t="s">
        <v>153</v>
      </c>
      <c r="B228" s="18">
        <f>J51</f>
        <v>40881.453741780824</v>
      </c>
      <c r="C228" s="18">
        <f>J82</f>
        <v>36120.606396575342</v>
      </c>
      <c r="D228" s="18">
        <f>J113</f>
        <v>33740.182723972597</v>
      </c>
      <c r="E228" s="18">
        <f>J144</f>
        <v>30963.021772602737</v>
      </c>
    </row>
    <row r="229" spans="1:5" x14ac:dyDescent="0.35">
      <c r="A229" s="2" t="s">
        <v>138</v>
      </c>
      <c r="B229" s="18">
        <f>L51</f>
        <v>42392.453741780824</v>
      </c>
      <c r="C229" s="18">
        <f>L82</f>
        <v>37631.606396575342</v>
      </c>
      <c r="D229" s="18">
        <f>L113</f>
        <v>35251.182723972597</v>
      </c>
      <c r="E229" s="18">
        <f>L144</f>
        <v>32711.021772602737</v>
      </c>
    </row>
    <row r="231" spans="1:5" x14ac:dyDescent="0.35">
      <c r="A231" t="s">
        <v>162</v>
      </c>
    </row>
    <row r="232" spans="1:5" x14ac:dyDescent="0.35">
      <c r="A232" s="2" t="s">
        <v>151</v>
      </c>
      <c r="B232" s="18">
        <v>99</v>
      </c>
      <c r="C232" s="18">
        <v>95</v>
      </c>
      <c r="D232" s="18">
        <v>90</v>
      </c>
      <c r="E232" s="18">
        <v>80</v>
      </c>
    </row>
    <row r="233" spans="1:5" x14ac:dyDescent="0.35">
      <c r="A233" s="2" t="s">
        <v>152</v>
      </c>
      <c r="B233" s="18">
        <f>K66</f>
        <v>700</v>
      </c>
      <c r="C233" s="2">
        <f>K97</f>
        <v>700</v>
      </c>
      <c r="D233" s="2">
        <f>K128</f>
        <v>700</v>
      </c>
      <c r="E233" s="2">
        <f>K159</f>
        <v>700</v>
      </c>
    </row>
    <row r="234" spans="1:5" x14ac:dyDescent="0.35">
      <c r="A234" s="2" t="s">
        <v>153</v>
      </c>
      <c r="B234" s="18">
        <f>J66</f>
        <v>45416.993496575342</v>
      </c>
      <c r="C234" s="18">
        <f>J97</f>
        <v>40656.14615136986</v>
      </c>
      <c r="D234" s="18">
        <f>J128</f>
        <v>38275.722478767122</v>
      </c>
      <c r="E234" s="18">
        <f>J159</f>
        <v>31297.717830821919</v>
      </c>
    </row>
    <row r="235" spans="1:5" x14ac:dyDescent="0.35">
      <c r="A235" s="2" t="s">
        <v>138</v>
      </c>
      <c r="B235" s="18">
        <f>L66</f>
        <v>46116.993496575342</v>
      </c>
      <c r="C235" s="18">
        <f>L97</f>
        <v>41356.14615136986</v>
      </c>
      <c r="D235" s="18">
        <f>L128</f>
        <v>38975.722478767122</v>
      </c>
      <c r="E235" s="18">
        <f>L159</f>
        <v>31997.717830821919</v>
      </c>
    </row>
    <row r="237" spans="1:5" x14ac:dyDescent="0.35">
      <c r="A237" t="s">
        <v>163</v>
      </c>
    </row>
    <row r="238" spans="1:5" x14ac:dyDescent="0.35">
      <c r="A238" s="2" t="s">
        <v>151</v>
      </c>
      <c r="B238" s="18">
        <v>99</v>
      </c>
      <c r="C238" s="18">
        <v>95</v>
      </c>
      <c r="D238" s="18">
        <v>90</v>
      </c>
      <c r="E238" s="18">
        <v>80</v>
      </c>
    </row>
    <row r="239" spans="1:5" x14ac:dyDescent="0.35">
      <c r="A239" s="2" t="s">
        <v>152</v>
      </c>
      <c r="B239" s="18">
        <f>K175</f>
        <v>500</v>
      </c>
      <c r="C239" s="2">
        <f>K191</f>
        <v>737</v>
      </c>
      <c r="D239" s="2">
        <f>K207</f>
        <v>737</v>
      </c>
      <c r="E239" s="2">
        <f>K223</f>
        <v>400</v>
      </c>
    </row>
    <row r="240" spans="1:5" x14ac:dyDescent="0.35">
      <c r="A240" s="2" t="s">
        <v>153</v>
      </c>
      <c r="B240" s="18">
        <f>J175</f>
        <v>59216.267077397257</v>
      </c>
      <c r="C240" s="18">
        <f>J191</f>
        <v>51222.745608904108</v>
      </c>
      <c r="D240" s="18">
        <f>J207</f>
        <v>46726.389782876715</v>
      </c>
      <c r="E240" s="18">
        <f>J223</f>
        <v>41847.990651369859</v>
      </c>
    </row>
    <row r="241" spans="1:5" x14ac:dyDescent="0.35">
      <c r="A241" s="2" t="s">
        <v>138</v>
      </c>
      <c r="B241" s="18">
        <f>L175</f>
        <v>59716.267077397257</v>
      </c>
      <c r="C241" s="18">
        <f>L191</f>
        <v>51959.745608904108</v>
      </c>
      <c r="D241" s="18">
        <f>L207</f>
        <v>47463.389782876715</v>
      </c>
      <c r="E241" s="18">
        <f>L223</f>
        <v>42247.990651369859</v>
      </c>
    </row>
  </sheetData>
  <mergeCells count="21">
    <mergeCell ref="A223:G223"/>
    <mergeCell ref="A177:H177"/>
    <mergeCell ref="A191:G191"/>
    <mergeCell ref="A193:H193"/>
    <mergeCell ref="A207:G207"/>
    <mergeCell ref="A209:H209"/>
    <mergeCell ref="A35:G35"/>
    <mergeCell ref="A37:H37"/>
    <mergeCell ref="A51:G51"/>
    <mergeCell ref="A66:G66"/>
    <mergeCell ref="A68:H68"/>
    <mergeCell ref="A82:G82"/>
    <mergeCell ref="A97:G97"/>
    <mergeCell ref="A99:H99"/>
    <mergeCell ref="A113:G113"/>
    <mergeCell ref="A128:G128"/>
    <mergeCell ref="A130:H130"/>
    <mergeCell ref="A144:G144"/>
    <mergeCell ref="A159:G159"/>
    <mergeCell ref="A161:H161"/>
    <mergeCell ref="A175:G175"/>
  </mergeCells>
  <phoneticPr fontId="7" type="noConversion"/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4F57E-D2B0-4E06-9585-31E48289086C}">
  <dimension ref="A1:E10"/>
  <sheetViews>
    <sheetView workbookViewId="0">
      <selection activeCell="E1" sqref="E1"/>
    </sheetView>
  </sheetViews>
  <sheetFormatPr defaultRowHeight="14.5" x14ac:dyDescent="0.35"/>
  <cols>
    <col min="1" max="1" width="41.81640625" bestFit="1" customWidth="1"/>
    <col min="2" max="2" width="16.453125" bestFit="1" customWidth="1"/>
    <col min="3" max="3" width="19" bestFit="1" customWidth="1"/>
    <col min="4" max="4" width="14.26953125" bestFit="1" customWidth="1"/>
    <col min="5" max="5" width="19" bestFit="1" customWidth="1"/>
    <col min="6" max="6" width="14.26953125" bestFit="1" customWidth="1"/>
  </cols>
  <sheetData>
    <row r="1" spans="1:5" x14ac:dyDescent="0.35">
      <c r="A1" s="2"/>
      <c r="B1" s="2" t="s">
        <v>136</v>
      </c>
      <c r="C1" s="2" t="s">
        <v>137</v>
      </c>
      <c r="D1" s="2" t="s">
        <v>138</v>
      </c>
    </row>
    <row r="2" spans="1:5" x14ac:dyDescent="0.35">
      <c r="A2" s="2" t="s">
        <v>205</v>
      </c>
      <c r="B2" s="18">
        <v>57710.127624684326</v>
      </c>
      <c r="C2" s="18">
        <v>600</v>
      </c>
      <c r="D2" s="18">
        <v>58310.127624684326</v>
      </c>
    </row>
    <row r="3" spans="1:5" x14ac:dyDescent="0.35">
      <c r="A3" s="2" t="s">
        <v>206</v>
      </c>
      <c r="B3" s="18">
        <v>81774.124795561002</v>
      </c>
      <c r="C3" s="18">
        <v>500</v>
      </c>
      <c r="D3" s="18">
        <v>82274.124795561002</v>
      </c>
    </row>
    <row r="4" spans="1:5" x14ac:dyDescent="0.35">
      <c r="A4" s="67" t="s">
        <v>34</v>
      </c>
      <c r="B4" s="67"/>
      <c r="C4" s="67"/>
      <c r="D4" s="60">
        <f>D2+D3</f>
        <v>140584.25242024532</v>
      </c>
    </row>
    <row r="6" spans="1:5" x14ac:dyDescent="0.35">
      <c r="A6" s="2" t="s">
        <v>151</v>
      </c>
      <c r="B6" s="2">
        <v>99</v>
      </c>
      <c r="C6" s="2">
        <v>95</v>
      </c>
      <c r="D6" s="2">
        <v>90</v>
      </c>
      <c r="E6" s="2">
        <v>80</v>
      </c>
    </row>
    <row r="7" spans="1:5" x14ac:dyDescent="0.35">
      <c r="A7" s="2" t="s">
        <v>208</v>
      </c>
      <c r="B7" s="18">
        <v>40881.453741780824</v>
      </c>
      <c r="C7" s="18">
        <v>36120.606396575342</v>
      </c>
      <c r="D7" s="18">
        <v>33740.182723972597</v>
      </c>
      <c r="E7" s="18">
        <v>30963.021772602737</v>
      </c>
    </row>
    <row r="8" spans="1:5" x14ac:dyDescent="0.35">
      <c r="A8" s="2" t="s">
        <v>207</v>
      </c>
      <c r="B8" s="18">
        <v>99150.018620684918</v>
      </c>
      <c r="C8" s="18">
        <v>90643.405955890397</v>
      </c>
      <c r="D8" s="18">
        <v>86414.976936438354</v>
      </c>
      <c r="E8" s="18">
        <v>81690.906141369851</v>
      </c>
    </row>
    <row r="9" spans="1:5" x14ac:dyDescent="0.35">
      <c r="A9" s="2" t="s">
        <v>137</v>
      </c>
      <c r="B9" s="2">
        <v>800</v>
      </c>
      <c r="C9" s="2">
        <v>1037</v>
      </c>
      <c r="D9" s="2">
        <v>1037</v>
      </c>
      <c r="E9" s="2">
        <v>1274</v>
      </c>
    </row>
    <row r="10" spans="1:5" x14ac:dyDescent="0.35">
      <c r="A10" s="2" t="s">
        <v>138</v>
      </c>
      <c r="B10" s="18">
        <f>SUM(B7:B9)</f>
        <v>140831.47236246575</v>
      </c>
      <c r="C10" s="18">
        <f t="shared" ref="C10:E10" si="0">SUM(C7:C9)</f>
        <v>127801.01235246574</v>
      </c>
      <c r="D10" s="18">
        <f t="shared" si="0"/>
        <v>121192.15966041095</v>
      </c>
      <c r="E10" s="18">
        <f t="shared" si="0"/>
        <v>113927.92791397258</v>
      </c>
    </row>
  </sheetData>
  <mergeCells count="1">
    <mergeCell ref="A4:C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Evidované denní pohyby-upravené</vt:lpstr>
      <vt:lpstr>Měsíční výdej dle zaměstnance</vt:lpstr>
      <vt:lpstr>Periodogram</vt:lpstr>
      <vt:lpstr>Standardizace měsíčního výdeje</vt:lpstr>
      <vt:lpstr>Histogram</vt:lpstr>
      <vt:lpstr>P-systém</vt:lpstr>
      <vt:lpstr>Q-systém</vt:lpstr>
      <vt:lpstr>Objednávky 2021</vt:lpstr>
      <vt:lpstr>Společné objednávky 2021</vt:lpstr>
      <vt:lpstr>Společné objednávky 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Terezka Pavlásková</dc:creator>
  <cp:lastModifiedBy>Terezka Pavlásková</cp:lastModifiedBy>
  <dcterms:created xsi:type="dcterms:W3CDTF">2015-06-05T18:19:34Z</dcterms:created>
  <dcterms:modified xsi:type="dcterms:W3CDTF">2023-04-11T06:36:41Z</dcterms:modified>
</cp:coreProperties>
</file>